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mc:AlternateContent xmlns:mc="http://schemas.openxmlformats.org/markup-compatibility/2006">
    <mc:Choice Requires="x15">
      <x15ac:absPath xmlns:x15ac="http://schemas.microsoft.com/office/spreadsheetml/2010/11/ac" url="https://assistenzbuero-my.sharepoint.com/personal/k_hufschmid_assistenzbuero_ch/Documents/Dokumente/"/>
    </mc:Choice>
  </mc:AlternateContent>
  <xr:revisionPtr revIDLastSave="0" documentId="8_{409364CA-1BB8-4C3F-859A-F9CC7CC0F9FB}" xr6:coauthVersionLast="47" xr6:coauthVersionMax="47" xr10:uidLastSave="{00000000-0000-0000-0000-000000000000}"/>
  <bookViews>
    <workbookView xWindow="-108" yWindow="-108" windowWidth="23256" windowHeight="12456" tabRatio="942" firstSheet="1" activeTab="15" xr2:uid="{422E3366-4DFD-456F-8848-4B663000CB25}"/>
  </bookViews>
  <sheets>
    <sheet name="Intro" sheetId="14" r:id="rId1"/>
    <sheet name="  B  " sheetId="4" r:id="rId2"/>
    <sheet name=" 01 " sheetId="3" r:id="rId3"/>
    <sheet name=" 02 " sheetId="19" r:id="rId4"/>
    <sheet name=" 03 " sheetId="20" r:id="rId5"/>
    <sheet name=" 04 " sheetId="21" r:id="rId6"/>
    <sheet name=" 05 " sheetId="22" r:id="rId7"/>
    <sheet name=" 06 " sheetId="23" r:id="rId8"/>
    <sheet name=" 07 " sheetId="24" r:id="rId9"/>
    <sheet name=" 08 " sheetId="25" r:id="rId10"/>
    <sheet name=" 09 " sheetId="26" r:id="rId11"/>
    <sheet name=" 10 " sheetId="27" r:id="rId12"/>
    <sheet name=" 11 " sheetId="28" r:id="rId13"/>
    <sheet name=" 12 " sheetId="29" r:id="rId14"/>
    <sheet name="  L  " sheetId="18" r:id="rId15"/>
    <sheet name="  I  " sheetId="17" r:id="rId16"/>
    <sheet name="  E  " sheetId="15" r:id="rId17"/>
    <sheet name="Vorgabewerte" sheetId="8" state="hidden" r:id="rId18"/>
    <sheet name="Berechnungen" sheetId="9" state="hidden" r:id="rId19"/>
    <sheet name="Kontrolldaten" sheetId="31" state="hidden" r:id="rId20"/>
    <sheet name="Text" sheetId="10" state="hidden" r:id="rId21"/>
    <sheet name="Versionskontrolle" sheetId="30" state="hidden" r:id="rId22"/>
    <sheet name="Vorlage" sheetId="1" state="hidden" r:id="rId23"/>
  </sheets>
  <definedNames>
    <definedName name="A_Anrede_Auswahl">Text!$W$32:$X$41</definedName>
    <definedName name="A_Arbeitsunfähigkeit324a_Auswahl">Text!$G$32:$H$41</definedName>
    <definedName name="A_ArbeitsunfähigkeitGrund_Auswahl">Text!$M$32:$N$51</definedName>
    <definedName name="A_ArtUnfall_Auswahl">Text!$I$86:$J$100</definedName>
    <definedName name="A_Auszahlung_13_Auswahl">Text!$A$86:$B$100</definedName>
    <definedName name="A_BernerSkala">Vorgabewerte!$A$20:$B$41</definedName>
    <definedName name="A_Ferien_ArtAuszahlung_Auswahl">Text!$K$32:$L$41</definedName>
    <definedName name="A_GekündigtVon_Auswahl">Text!$S$32:$T$41</definedName>
    <definedName name="A_Hinweis_LFP_Auswahl">Text!$O$32:$P$41</definedName>
    <definedName name="A_JaNein_Auswahl">Text!$C$32:$D$41</definedName>
    <definedName name="A_Kündigungsmöglichkeit_Auswahl">Text!$Q$32:$R$41</definedName>
    <definedName name="A_Lohnart_Auswahl">Text!$I$32:$J$41</definedName>
    <definedName name="A_Pensionsalter">Vorgabewerte!$I$32:$I$33</definedName>
    <definedName name="A_Rückfall_Auswahl">Text!$U$32:$V$41</definedName>
    <definedName name="A_Sperrfrist">Vorgabewerte!$A$70:$B$73</definedName>
    <definedName name="A_Stundenmix">Berechnungen!$O$4:$Z$6</definedName>
    <definedName name="A1A180">' 01 '!$A$1</definedName>
    <definedName name="AC">' 12 '!$AC$261</definedName>
    <definedName name="B_AnsatzUngültig">Text!$K$123</definedName>
    <definedName name="B_Anzahl">Text!$F$123</definedName>
    <definedName name="B_AuswahlSpalteC">Text!$A$123</definedName>
    <definedName name="B_gemTarifausZeile">Text!$E$123</definedName>
    <definedName name="B_KTG_unvollständig">Text!$C$123</definedName>
    <definedName name="B_NBU_fehlt">Text!$J$123</definedName>
    <definedName name="B_StdProNacht">Text!$L$123</definedName>
    <definedName name="B_Stunden">Text!$G$123</definedName>
    <definedName name="B_Tage">Text!$H$123</definedName>
    <definedName name="B_übernommenAusZeile">Text!$D$123</definedName>
    <definedName name="B_WeiterInZeile">Text!$B$123</definedName>
    <definedName name="B_Zeile">Text!$I$123</definedName>
    <definedName name="D">' 02 '!$FG$312</definedName>
    <definedName name="DE">' 01 '!$J$155</definedName>
    <definedName name="_xlnm.Print_Area" localSheetId="1">'  B  '!$A$12:$D$54,'  B  '!$A$56:$D$87,'  B  '!$A$89:$D$131</definedName>
    <definedName name="_xlnm.Print_Area" localSheetId="2">' 01 '!$A$20:$I$45,' 01 '!$A$50:$J$144,' 01 '!$A$146:$J$197,' 01 '!$A$199:$J$258,' 01 '!$A$259:$I$307,' 01 '!$A$309:$J$332</definedName>
    <definedName name="_xlnm.Print_Area" localSheetId="3">' 02 '!$A$20:$I$45,' 02 '!$A$50:$J$144,' 02 '!$A$146:$J$195,' 02 '!$A$199:$J$258,' 02 '!$A$259:$I$307,' 02 '!$A$309:$I$332</definedName>
    <definedName name="_xlnm.Print_Area" localSheetId="4">' 03 '!$A$20:$I$45,' 03 '!$A$50:$J$144,' 03 '!$A$146:$J$195,' 03 '!$A$199:$J$258,' 03 '!$A$259:$I$307,' 03 '!$A$309:$J$332</definedName>
    <definedName name="_xlnm.Print_Area" localSheetId="5">' 04 '!$A$20:$I$45,' 04 '!$A$50:$J$144,' 04 '!$A$146:$J$258,' 04 '!$A$259:$I$307,' 04 '!$A$309:$J$332</definedName>
    <definedName name="_xlnm.Print_Area" localSheetId="6">' 05 '!$A$20:$I$45,' 05 '!$A$50:$J$144,' 05 '!$A$146:$J$189,' 05 '!$A$199:$J$255,' 05 '!$A$259:$I$307,' 05 '!$A$309:$J$333</definedName>
    <definedName name="_xlnm.Print_Area" localSheetId="7">' 06 '!$A$21:$I$45,' 06 '!$A$50:$J$144,' 06 '!$A$146:$J$197,' 06 '!$A$199:$J$258,' 06 '!$A$259:$I$307,' 06 '!$A$309:$J$332</definedName>
    <definedName name="_xlnm.Print_Area" localSheetId="8">' 07 '!$A$20:$I$45,' 07 '!$A$50:$J$144,' 07 '!$A$146:$J$258,' 07 '!$A$259:$I$307,' 07 '!$A$309:$J$332</definedName>
    <definedName name="_xlnm.Print_Area" localSheetId="9">' 08 '!$A$20:$I$45,' 08 '!$A$50:$J$144,' 08 '!$A$146:$J$258,' 08 '!$A$259:$I$307,' 08 '!$A$309:$J$332</definedName>
    <definedName name="_xlnm.Print_Area" localSheetId="10">' 09 '!$A$20:$I$45,' 09 '!$A$50:$J$144,' 09 '!$A$146:$J$189,' 09 '!$A$199:$J$255,' 09 '!$A$259:$I$307,' 09 '!$A$309:$I$333</definedName>
    <definedName name="_xlnm.Print_Area" localSheetId="11">' 10 '!$A$20:$I$45,' 10 '!$A$50:$J$144,' 10 '!$A$146:$J$195,' 10 '!$A$199:$J$258,' 10 '!$A$259:$I$307,' 10 '!$A$309:$J$332</definedName>
    <definedName name="_xlnm.Print_Area" localSheetId="12">' 11 '!$A$20:$I$45,' 11 '!$A$50:$J$144,' 11 '!$A$146:$J$196,' 11 '!$A$199:$J$258,' 11 '!$A$259:$I$307,' 11 '!$A$309:$J$332</definedName>
    <definedName name="_xlnm.Print_Area" localSheetId="13">' 12 '!$A$20:$I$45,' 12 '!$A$50:$J$144,' 12 '!$A$146:$J$196,' 12 '!$A$199:$J$258,' 12 '!$A$259:$I$307,' 12 '!$A$309:$J$332</definedName>
    <definedName name="L_Anrede">Text!$W$4:$W$5</definedName>
    <definedName name="L_AnstellungBefristet">Text!$E$4:$E$5</definedName>
    <definedName name="L_Arbeitsunfähigkeit_Grund">Text!$G$4:$G$8</definedName>
    <definedName name="L_ArbeitszeitVereinbarung">Text!$E$67:$E$68</definedName>
    <definedName name="L_ArtUnfall">Text!$I$67:$I$68</definedName>
    <definedName name="L_Auszahlung_13">Text!$A$67:$A$68</definedName>
    <definedName name="L_Ferien_ArtAuszahlung">Text!$K$4:$K$5</definedName>
    <definedName name="L_GekündigtVon">Text!$S$4:$S$7</definedName>
    <definedName name="L_JaNein">Text!$C$4:$C$5</definedName>
    <definedName name="L_Kündigungsmöglichkeit">Text!$Q$4:$Q$5</definedName>
    <definedName name="L_Lohnart">Text!$I$4:$I$5</definedName>
    <definedName name="L_NachtTarif">Vorgabewerte!$K$10:$K$14</definedName>
    <definedName name="L_Rückfall">Text!$U$4:$U$5</definedName>
    <definedName name="L_Sprache">Text!$A$4:$A$5</definedName>
    <definedName name="L_WartefristKTGJe">Text!$G$67:$G$68</definedName>
    <definedName name="Linkziel_Kündigung">'  B  '!$A$92</definedName>
    <definedName name="Linkziel_M_Abwesenheiten" localSheetId="3">' 02 '!$A$199</definedName>
    <definedName name="Linkziel_M_Abwesenheiten" localSheetId="4">' 03 '!$A$199</definedName>
    <definedName name="Linkziel_M_Abwesenheiten" localSheetId="5">' 04 '!$A$199</definedName>
    <definedName name="Linkziel_M_Abwesenheiten" localSheetId="6">' 05 '!$A$199</definedName>
    <definedName name="Linkziel_M_Abwesenheiten" localSheetId="7">' 06 '!$A$199</definedName>
    <definedName name="Linkziel_M_Abwesenheiten" localSheetId="8">' 07 '!$A$199</definedName>
    <definedName name="Linkziel_M_Abwesenheiten" localSheetId="9">' 08 '!$A$199</definedName>
    <definedName name="Linkziel_M_Abwesenheiten" localSheetId="10">' 09 '!$A$199</definedName>
    <definedName name="Linkziel_M_Abwesenheiten" localSheetId="11">' 10 '!$A$199</definedName>
    <definedName name="Linkziel_M_Abwesenheiten" localSheetId="12">' 11 '!$A$199</definedName>
    <definedName name="Linkziel_M_Abwesenheiten" localSheetId="13">' 12 '!$A$199</definedName>
    <definedName name="Linkziel_M_Abwesenheiten">' 01 '!$A$199</definedName>
    <definedName name="Linkziel_M_ASTeK" localSheetId="3">' 02 '!$A$146</definedName>
    <definedName name="Linkziel_M_ASTeK" localSheetId="4">' 03 '!$A$146</definedName>
    <definedName name="Linkziel_M_ASTeK" localSheetId="5">' 04 '!$A$146</definedName>
    <definedName name="Linkziel_M_ASTeK" localSheetId="6">' 05 '!$A$146</definedName>
    <definedName name="Linkziel_M_ASTeK" localSheetId="7">' 06 '!$A$146</definedName>
    <definedName name="Linkziel_M_ASTeK" localSheetId="8">' 07 '!$A$146</definedName>
    <definedName name="Linkziel_M_ASTeK" localSheetId="9">' 08 '!$A$146</definedName>
    <definedName name="Linkziel_M_ASTeK" localSheetId="10">' 09 '!$A$146</definedName>
    <definedName name="Linkziel_M_ASTeK" localSheetId="11">' 10 '!$A$146</definedName>
    <definedName name="Linkziel_M_ASTeK" localSheetId="12">' 11 '!$A$146</definedName>
    <definedName name="Linkziel_M_ASTeK" localSheetId="13">' 12 '!$A$146</definedName>
    <definedName name="Linkziel_M_ASTeK">' 01 '!$A$146</definedName>
    <definedName name="Linkziel_M_Eingaben" localSheetId="3">' 02 '!$A$20</definedName>
    <definedName name="Linkziel_M_Eingaben" localSheetId="4">' 03 '!$A$20</definedName>
    <definedName name="Linkziel_M_Eingaben" localSheetId="5">' 04 '!$A$20</definedName>
    <definedName name="Linkziel_M_Eingaben" localSheetId="6">' 05 '!$A$20</definedName>
    <definedName name="Linkziel_M_Eingaben" localSheetId="7">' 06 '!$A$20</definedName>
    <definedName name="Linkziel_M_Eingaben" localSheetId="8">' 07 '!$A$20</definedName>
    <definedName name="Linkziel_M_Eingaben" localSheetId="9">' 08 '!$A$20</definedName>
    <definedName name="Linkziel_M_Eingaben" localSheetId="10">' 09 '!$A$20</definedName>
    <definedName name="Linkziel_M_Eingaben" localSheetId="11">' 10 '!$A$20</definedName>
    <definedName name="Linkziel_M_Eingaben" localSheetId="12">' 11 '!$A$20</definedName>
    <definedName name="Linkziel_M_Eingaben" localSheetId="13">' 12 '!$A$20</definedName>
    <definedName name="Linkziel_M_Eingaben">' 01 '!$A$20</definedName>
    <definedName name="Linkziel_M_Einsatzrapport" localSheetId="3">' 02 '!$A$259</definedName>
    <definedName name="Linkziel_M_Einsatzrapport" localSheetId="4">' 03 '!$A$259</definedName>
    <definedName name="Linkziel_M_Einsatzrapport" localSheetId="5">' 04 '!$A$259</definedName>
    <definedName name="Linkziel_M_Einsatzrapport" localSheetId="6">' 05 '!$A$259</definedName>
    <definedName name="Linkziel_M_Einsatzrapport" localSheetId="7">' 06 '!$A$259</definedName>
    <definedName name="Linkziel_M_Einsatzrapport" localSheetId="8">' 07 '!$A$259</definedName>
    <definedName name="Linkziel_M_Einsatzrapport" localSheetId="9">' 08 '!$A$259</definedName>
    <definedName name="Linkziel_M_Einsatzrapport" localSheetId="10">' 09 '!$A$259</definedName>
    <definedName name="Linkziel_M_Einsatzrapport" localSheetId="11">' 10 '!$A$259</definedName>
    <definedName name="Linkziel_M_Einsatzrapport" localSheetId="12">' 11 '!$A$259</definedName>
    <definedName name="Linkziel_M_Einsatzrapport" localSheetId="13">' 12 '!$A$259</definedName>
    <definedName name="Linkziel_M_Einsatzrapport">' 01 '!$A$259</definedName>
    <definedName name="Linkziel_M_Korrekturen" localSheetId="3">' 02 '!$A$309</definedName>
    <definedName name="Linkziel_M_Korrekturen" localSheetId="4">' 03 '!$A$309</definedName>
    <definedName name="Linkziel_M_Korrekturen" localSheetId="5">' 04 '!$A$309</definedName>
    <definedName name="Linkziel_M_Korrekturen" localSheetId="6">' 05 '!$A$309</definedName>
    <definedName name="Linkziel_M_Korrekturen" localSheetId="7">' 06 '!$A$309</definedName>
    <definedName name="Linkziel_M_Korrekturen" localSheetId="8">' 07 '!$A$309</definedName>
    <definedName name="Linkziel_M_Korrekturen" localSheetId="9">' 08 '!$A$309</definedName>
    <definedName name="Linkziel_M_Korrekturen" localSheetId="10">' 09 '!$A$309</definedName>
    <definedName name="Linkziel_M_Korrekturen" localSheetId="11">' 10 '!$A$309</definedName>
    <definedName name="Linkziel_M_Korrekturen" localSheetId="12">' 11 '!$A$309</definedName>
    <definedName name="Linkziel_M_Korrekturen" localSheetId="13">' 12 '!$A$309</definedName>
    <definedName name="Linkziel_M_Korrekturen">' 01 '!$A$309</definedName>
    <definedName name="Linkziel_M_Lohnabrechnung" localSheetId="3">' 02 '!$A$46</definedName>
    <definedName name="Linkziel_M_Lohnabrechnung" localSheetId="4">' 03 '!$A$46</definedName>
    <definedName name="Linkziel_M_Lohnabrechnung" localSheetId="5">' 04 '!$A$46</definedName>
    <definedName name="Linkziel_M_Lohnabrechnung" localSheetId="6">' 05 '!$A$46</definedName>
    <definedName name="Linkziel_M_Lohnabrechnung" localSheetId="7">' 06 '!$A$46</definedName>
    <definedName name="Linkziel_M_Lohnabrechnung" localSheetId="8">' 07 '!$A$46</definedName>
    <definedName name="Linkziel_M_Lohnabrechnung" localSheetId="9">' 08 '!$A$46</definedName>
    <definedName name="Linkziel_M_Lohnabrechnung" localSheetId="10">' 09 '!$A$46</definedName>
    <definedName name="Linkziel_M_Lohnabrechnung" localSheetId="11">' 10 '!$A$46</definedName>
    <definedName name="Linkziel_M_Lohnabrechnung" localSheetId="12">' 11 '!$A$46</definedName>
    <definedName name="Linkziel_M_Lohnabrechnung" localSheetId="13">' 12 '!$A$46</definedName>
    <definedName name="Linkziel_M_Lohnabrechnung">' 01 '!$A$46</definedName>
    <definedName name="N_Abrechnungsjahr">'  B  '!$C$13</definedName>
    <definedName name="N_Anrede">'  B  '!$C$33</definedName>
    <definedName name="N_Anstellung_Beginn">'  B  '!$C$44</definedName>
    <definedName name="N_Anstellung_Ende">Berechnungen!$B$35</definedName>
    <definedName name="N_AnstellungBefristet_Ende">'  B  '!$C$46</definedName>
    <definedName name="N_AnstellungBefristetAuswahl">Text!$F$43</definedName>
    <definedName name="N_ArbeitsstundenSollProKT">Berechnungen!$B$7</definedName>
    <definedName name="N_ArbeitszeitVereinbarungAuswahl">Text!$F$102</definedName>
    <definedName name="N_Auszahlung_13">'  B  '!$C$66</definedName>
    <definedName name="N_Auszahlung_13_Auswahl">Text!$B$102</definedName>
    <definedName name="N_BruttoStundenSatz_Monatslohn">Berechnungen!$B$12</definedName>
    <definedName name="N_Ferien_ArtAuszahlung_Auswahl">Text!$L$43</definedName>
    <definedName name="N_Ferien_Jahresguthaben">Berechnungen!$B$25</definedName>
    <definedName name="N_Ferienzuschlag">Berechnungen!$C$23</definedName>
    <definedName name="N_GekündigtVon">'  B  '!$C$98</definedName>
    <definedName name="N_GekündigtVon_Auswahl">Text!$T$43</definedName>
    <definedName name="N_Kündigung">'  B  '!$C$97</definedName>
    <definedName name="N_Kündigungsfrist_Beginn">Berechnungen!$B$31</definedName>
    <definedName name="N_LFP_324_Dauer_max">Berechnungen!$B$18</definedName>
    <definedName name="N_LFP_324_RV_Dauer_max">Vorgabewerte!$B$52</definedName>
    <definedName name="N_LFP_324a_RV_Dauer_max">Vorgabewerte!$B$51</definedName>
    <definedName name="N_LFP_Mutterschaft_Dauer_max">Vorgabewerte!$B$48</definedName>
    <definedName name="N_LFP_Startdatum">Berechnungen!$B$17</definedName>
    <definedName name="N_Lohnart">'  B  '!$C$59</definedName>
    <definedName name="N_LohnartAuswahl">Text!$J$43</definedName>
    <definedName name="N_Monatslohn">'  B  '!$G$59</definedName>
    <definedName name="N_Monatslohn_1">'  B  '!$K$59</definedName>
    <definedName name="N_Monatslohn_2">'  B  '!$O$59</definedName>
    <definedName name="N_NachtStufe">Berechnungen!$B$19</definedName>
    <definedName name="N_Offset_B">Text!$AB$245</definedName>
    <definedName name="N_Offset_E">Text!$AB$906</definedName>
    <definedName name="N_Offset_I">Text!$AB$875</definedName>
    <definedName name="N_Offset_Intro">Text!$AB$195</definedName>
    <definedName name="N_Offset_Kontrolldaten">Text!$AB$950</definedName>
    <definedName name="N_Offset_L">Text!$AB$836</definedName>
    <definedName name="N_Offset_M">Text!$AB$369</definedName>
    <definedName name="N_Pensioniert_Freibetrag">Vorgabewerte!$I$34</definedName>
    <definedName name="N_Pensum">'  B  '!$C$54</definedName>
    <definedName name="N_Probezeit_Dauer_Mt">'  B  '!$C$49</definedName>
    <definedName name="N_Sprache">Berechnungen!$B$3</definedName>
    <definedName name="N_SpracheAuswahl">Text!$B$43</definedName>
    <definedName name="N_SVers_Beitrag_AG">'  B  '!$G$71</definedName>
    <definedName name="N_Unfalltaggeld_Dauer_max">Vorgabewerte!$B$45</definedName>
    <definedName name="N_Version">Vorgabewerte!$H$1</definedName>
    <definedName name="N_Wartefrist_Unfall">Vorgabewerte!$B$44</definedName>
    <definedName name="N_WochenAZ_100Prozent">Vorgabewerte!$D$16</definedName>
    <definedName name="N_Zeile_Kinderzulage">' 01 '!$Q$37</definedName>
    <definedName name="N_Zeile_Quellensteuer">' 01 '!$Q$38</definedName>
    <definedName name="Print_Area" localSheetId="1">'  B  '!$A$1:$D$122</definedName>
    <definedName name="Print_Area" localSheetId="16">'  E  '!$A:$D</definedName>
    <definedName name="Print_Area" localSheetId="14">'  L  '!$A$1:$I$24</definedName>
    <definedName name="Print_Area" localSheetId="2">' 01 '!$A$20:$I$45,' 01 '!$A$50:$J$144,' 01 '!$A$146:$J$258,' 01 '!$A$259:$I$307,' 01 '!$A$309:$I$332</definedName>
    <definedName name="Print_Area" localSheetId="3">' 02 '!$A$20:$I$45,' 02 '!$A$50:$J$144,' 02 '!$A$146:$J$258,' 02 '!$A$259:$I$307,' 02 '!$A$309:$I$332</definedName>
    <definedName name="Print_Area" localSheetId="4">' 03 '!$A$20:$I$45,' 03 '!$A$50:$J$144,' 03 '!$A$146:$J$258,' 03 '!$A$259:$I$307,' 03 '!$A$309:$I$332</definedName>
    <definedName name="Print_Area" localSheetId="5">' 04 '!$A$20:$I$45,' 04 '!$A$50:$J$144,' 04 '!$A$146:$J$258,' 04 '!$A$259:$I$307,' 04 '!$A$309:$I$332</definedName>
    <definedName name="Print_Area" localSheetId="6">' 05 '!$A$20:$I$45,' 05 '!$A$50:$J$144,' 05 '!$A$146:$J$258,' 05 '!$A$259:$I$307,' 05 '!$A$309:$I$332</definedName>
    <definedName name="Print_Area" localSheetId="7">' 06 '!$A$20:$I$45,' 06 '!$A$50:$J$144,' 06 '!$A$146:$J$258,' 06 '!$A$259:$I$307,' 06 '!$A$309:$I$332</definedName>
    <definedName name="Print_Area" localSheetId="8">' 07 '!$A$20:$I$45,' 07 '!$A$50:$J$144,' 07 '!$A$146:$J$258,' 07 '!$A$259:$I$307,' 07 '!$A$309:$I$332</definedName>
    <definedName name="Print_Area" localSheetId="9">' 08 '!$A$20:$I$45,' 08 '!$A$50:$J$144,' 08 '!$A$146:$J$258,' 08 '!$A$259:$I$307,' 08 '!$A$309:$I$332</definedName>
    <definedName name="Print_Area" localSheetId="10">' 09 '!$A$20:$I$45,' 09 '!$A$50:$J$144,' 09 '!$A$146:$J$258,' 09 '!$A$259:$I$307,' 09 '!$A$309:$I$332</definedName>
    <definedName name="Print_Area" localSheetId="11">' 10 '!$A$20:$I$45,' 10 '!$A$50:$J$144,' 10 '!$A$146:$J$258,' 10 '!$A$259:$I$307,' 10 '!$A$309:$I$332</definedName>
    <definedName name="Print_Area" localSheetId="12">' 11 '!$A$20:$I$45,' 11 '!$A$50:$J$144,' 11 '!$A$146:$J$258,' 11 '!$A$259:$I$307,' 11 '!$A$309:$I$332</definedName>
    <definedName name="Print_Area" localSheetId="13">' 12 '!$A$20:$I$45,' 12 '!$A$50:$J$144,' 12 '!$A$146:$J$258,' 12 '!$A$259:$I$307,' 12 '!$A$309:$I$332</definedName>
    <definedName name="Print_Area" localSheetId="0">Intro!$A$1:$C$34</definedName>
    <definedName name="Print_Titles" localSheetId="21">Versionskontrolle!$3:$6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4" i="4" l="1"/>
  <c r="M40" i="10" l="1"/>
  <c r="O216" i="3"/>
  <c r="O216" i="29"/>
  <c r="O216" i="28"/>
  <c r="O216" i="27"/>
  <c r="O216" i="26"/>
  <c r="O216" i="25"/>
  <c r="O216" i="24"/>
  <c r="O216" i="23"/>
  <c r="O216" i="22"/>
  <c r="O216" i="21"/>
  <c r="O216" i="20"/>
  <c r="O216" i="19"/>
  <c r="C115" i="4" l="1"/>
  <c r="C114" i="4"/>
  <c r="C113" i="4"/>
  <c r="C112" i="4"/>
  <c r="C111" i="4"/>
  <c r="A222" i="26" l="1"/>
  <c r="F161" i="29"/>
  <c r="F161" i="28"/>
  <c r="F161" i="27"/>
  <c r="F161" i="26"/>
  <c r="F161" i="25"/>
  <c r="F161" i="24"/>
  <c r="F161" i="23"/>
  <c r="F161" i="22"/>
  <c r="F161" i="21"/>
  <c r="F161" i="20"/>
  <c r="F161" i="19"/>
  <c r="O232" i="19"/>
  <c r="A232" i="19" s="1"/>
  <c r="O232" i="20"/>
  <c r="E232" i="20" s="1"/>
  <c r="O232" i="21"/>
  <c r="A232" i="21" s="1"/>
  <c r="O232" i="22"/>
  <c r="A232" i="22" s="1"/>
  <c r="O232" i="24"/>
  <c r="A232" i="24" s="1"/>
  <c r="O232" i="25"/>
  <c r="E232" i="25" s="1"/>
  <c r="O232" i="26"/>
  <c r="E232" i="26" s="1"/>
  <c r="O232" i="27"/>
  <c r="E232" i="27" s="1"/>
  <c r="O232" i="28"/>
  <c r="E232" i="28" s="1"/>
  <c r="O232" i="29"/>
  <c r="E232" i="29" s="1"/>
  <c r="O232" i="3"/>
  <c r="A232" i="3" s="1"/>
  <c r="O222" i="19"/>
  <c r="E222" i="19" s="1"/>
  <c r="O222" i="20"/>
  <c r="E222" i="20" s="1"/>
  <c r="O222" i="21"/>
  <c r="A222" i="21" s="1"/>
  <c r="O222" i="22"/>
  <c r="A222" i="22" s="1"/>
  <c r="O222" i="24"/>
  <c r="E222" i="24" s="1"/>
  <c r="O222" i="25"/>
  <c r="A222" i="25" s="1"/>
  <c r="O222" i="26"/>
  <c r="E222" i="26" s="1"/>
  <c r="O222" i="27"/>
  <c r="A222" i="27" s="1"/>
  <c r="O222" i="28"/>
  <c r="E222" i="28" s="1"/>
  <c r="O222" i="29"/>
  <c r="E222" i="29" s="1"/>
  <c r="O222" i="3"/>
  <c r="E222" i="3" s="1"/>
  <c r="O242" i="19"/>
  <c r="O242" i="20"/>
  <c r="O242" i="21"/>
  <c r="O242" i="22"/>
  <c r="O242" i="24"/>
  <c r="O242" i="25"/>
  <c r="O242" i="26"/>
  <c r="O242" i="27"/>
  <c r="O242" i="28"/>
  <c r="O242" i="29"/>
  <c r="O242" i="3"/>
  <c r="A232" i="29" l="1"/>
  <c r="A232" i="20"/>
  <c r="E232" i="24"/>
  <c r="E232" i="22"/>
  <c r="E222" i="21"/>
  <c r="E222" i="22"/>
  <c r="A222" i="24"/>
  <c r="A232" i="27"/>
  <c r="E232" i="3"/>
  <c r="E232" i="21"/>
  <c r="A232" i="28"/>
  <c r="A232" i="26"/>
  <c r="E222" i="25"/>
  <c r="A222" i="3"/>
  <c r="A232" i="25"/>
  <c r="E232" i="19"/>
  <c r="A222" i="29"/>
  <c r="A222" i="20"/>
  <c r="E222" i="27"/>
  <c r="A222" i="28"/>
  <c r="A222" i="19"/>
  <c r="F183" i="19"/>
  <c r="F183" i="20"/>
  <c r="F183" i="21"/>
  <c r="F183" i="22"/>
  <c r="F183" i="23"/>
  <c r="F183" i="24"/>
  <c r="F183" i="25"/>
  <c r="F183" i="26"/>
  <c r="F183" i="27"/>
  <c r="F183" i="28"/>
  <c r="F183" i="29"/>
  <c r="F183" i="3"/>
  <c r="F172" i="19"/>
  <c r="F172" i="20"/>
  <c r="F172" i="21"/>
  <c r="F172" i="22"/>
  <c r="F172" i="23"/>
  <c r="F172" i="24"/>
  <c r="F172" i="25"/>
  <c r="F172" i="26"/>
  <c r="F172" i="27"/>
  <c r="F172" i="28"/>
  <c r="F172" i="29"/>
  <c r="F172" i="3"/>
  <c r="F161" i="3"/>
  <c r="O206" i="19" l="1"/>
  <c r="O206" i="20"/>
  <c r="O206" i="21"/>
  <c r="O206" i="22"/>
  <c r="O206" i="23"/>
  <c r="O206" i="24"/>
  <c r="O206" i="25"/>
  <c r="O206" i="26"/>
  <c r="O206" i="27"/>
  <c r="O206" i="28"/>
  <c r="O206" i="29"/>
  <c r="O206" i="3"/>
  <c r="O230" i="19"/>
  <c r="G230" i="19" s="1"/>
  <c r="O230" i="20"/>
  <c r="G230" i="20" s="1"/>
  <c r="O230" i="21"/>
  <c r="G230" i="21" s="1"/>
  <c r="O230" i="22"/>
  <c r="G230" i="22" s="1"/>
  <c r="O230" i="24"/>
  <c r="G230" i="24" s="1"/>
  <c r="O230" i="25"/>
  <c r="G230" i="25" s="1"/>
  <c r="O230" i="26"/>
  <c r="G230" i="26" s="1"/>
  <c r="O230" i="27"/>
  <c r="G230" i="27" s="1"/>
  <c r="O230" i="28"/>
  <c r="G230" i="28" s="1"/>
  <c r="O230" i="29"/>
  <c r="G230" i="29" s="1"/>
  <c r="O230" i="3"/>
  <c r="G230" i="3" s="1"/>
  <c r="E155" i="19"/>
  <c r="E155" i="20"/>
  <c r="E155" i="21"/>
  <c r="E155" i="22"/>
  <c r="E155" i="23"/>
  <c r="E155" i="24"/>
  <c r="E155" i="25"/>
  <c r="E155" i="26"/>
  <c r="E155" i="27"/>
  <c r="E155" i="28"/>
  <c r="E155" i="29"/>
  <c r="E155" i="3"/>
  <c r="C61" i="4" l="1"/>
  <c r="C60" i="4"/>
  <c r="E11" i="8" l="1"/>
  <c r="G32" i="10" l="1"/>
  <c r="C105" i="4" l="1"/>
  <c r="C106" i="4"/>
  <c r="C53" i="4"/>
  <c r="C41" i="4" l="1"/>
  <c r="C117" i="17" l="1"/>
  <c r="C107" i="4" l="1"/>
  <c r="C68" i="4"/>
  <c r="C67" i="4"/>
  <c r="C33" i="4" l="1"/>
  <c r="C19" i="4"/>
  <c r="C27" i="4"/>
  <c r="D82" i="4" l="1"/>
  <c r="D80" i="4"/>
  <c r="D81" i="4"/>
  <c r="D79" i="4"/>
  <c r="C80" i="4"/>
  <c r="D72" i="4"/>
  <c r="D71" i="4"/>
  <c r="C72" i="4"/>
  <c r="C71" i="4"/>
  <c r="C28" i="4"/>
  <c r="C64" i="4"/>
  <c r="C49" i="4"/>
  <c r="C44" i="4"/>
  <c r="C35" i="4"/>
  <c r="C36" i="4"/>
  <c r="C37" i="4"/>
  <c r="C38" i="4"/>
  <c r="C39" i="4"/>
  <c r="C40" i="4"/>
  <c r="P406" i="3"/>
  <c r="C34" i="4"/>
  <c r="C24" i="4"/>
  <c r="C20" i="4"/>
  <c r="C21" i="4"/>
  <c r="C22" i="4"/>
  <c r="C23" i="4"/>
  <c r="A362" i="20" l="1"/>
  <c r="A362" i="28"/>
  <c r="A361" i="24"/>
  <c r="A362" i="22"/>
  <c r="A361" i="26"/>
  <c r="A362" i="25"/>
  <c r="A361" i="29"/>
  <c r="A362" i="26"/>
  <c r="A361" i="22"/>
  <c r="A361" i="3"/>
  <c r="A362" i="27"/>
  <c r="A362" i="21"/>
  <c r="A362" i="29"/>
  <c r="A361" i="25"/>
  <c r="A362" i="3"/>
  <c r="A361" i="21"/>
  <c r="A361" i="23"/>
  <c r="A362" i="23"/>
  <c r="A361" i="19"/>
  <c r="A361" i="27"/>
  <c r="A362" i="24"/>
  <c r="A361" i="20"/>
  <c r="A361" i="28"/>
  <c r="A362" i="19"/>
  <c r="G368" i="20"/>
  <c r="G368" i="28"/>
  <c r="G367" i="24"/>
  <c r="G368" i="3"/>
  <c r="G367" i="21"/>
  <c r="G368" i="26"/>
  <c r="G367" i="22"/>
  <c r="G367" i="3"/>
  <c r="G368" i="19"/>
  <c r="G368" i="27"/>
  <c r="G368" i="21"/>
  <c r="G368" i="29"/>
  <c r="G367" i="25"/>
  <c r="G368" i="22"/>
  <c r="G367" i="26"/>
  <c r="G368" i="25"/>
  <c r="G367" i="29"/>
  <c r="G367" i="23"/>
  <c r="G368" i="23"/>
  <c r="G367" i="19"/>
  <c r="G367" i="27"/>
  <c r="G368" i="24"/>
  <c r="G367" i="20"/>
  <c r="G367" i="28"/>
  <c r="C75" i="15"/>
  <c r="K9" i="8" l="1"/>
  <c r="K13" i="8" s="1"/>
  <c r="C3" i="8"/>
  <c r="A32" i="10"/>
  <c r="B42" i="10"/>
  <c r="A33" i="10"/>
  <c r="C32" i="10"/>
  <c r="C33" i="10"/>
  <c r="C34" i="10"/>
  <c r="C35" i="10"/>
  <c r="C36" i="10"/>
  <c r="C37" i="10"/>
  <c r="C38" i="10"/>
  <c r="C39" i="10"/>
  <c r="C40" i="10"/>
  <c r="C41" i="10"/>
  <c r="O316" i="3"/>
  <c r="I32" i="10"/>
  <c r="E32" i="10"/>
  <c r="E33" i="10"/>
  <c r="C96" i="4"/>
  <c r="C109" i="15" s="1"/>
  <c r="Q32" i="10"/>
  <c r="Q33" i="10"/>
  <c r="G33" i="10"/>
  <c r="G34" i="10"/>
  <c r="G35" i="10"/>
  <c r="G36" i="10"/>
  <c r="G37" i="10"/>
  <c r="G38" i="10"/>
  <c r="G39" i="10"/>
  <c r="G40" i="10"/>
  <c r="G41" i="10"/>
  <c r="P1" i="3"/>
  <c r="A264" i="3" s="1"/>
  <c r="P264" i="3" s="1"/>
  <c r="BC264" i="3" s="1"/>
  <c r="I86" i="10"/>
  <c r="I87" i="10"/>
  <c r="I88" i="10"/>
  <c r="I89" i="10"/>
  <c r="I90" i="10"/>
  <c r="I91" i="10"/>
  <c r="I92" i="10"/>
  <c r="I93" i="10"/>
  <c r="I94" i="10"/>
  <c r="I95" i="10"/>
  <c r="I96" i="10"/>
  <c r="I97" i="10"/>
  <c r="I98" i="10"/>
  <c r="I99" i="10"/>
  <c r="I100" i="10"/>
  <c r="E86" i="10"/>
  <c r="C70" i="15"/>
  <c r="C66" i="15"/>
  <c r="S32" i="10"/>
  <c r="S33" i="10"/>
  <c r="S34" i="10"/>
  <c r="S35" i="10"/>
  <c r="S36" i="10"/>
  <c r="S37" i="10"/>
  <c r="S38" i="10"/>
  <c r="S39" i="10"/>
  <c r="S40" i="10"/>
  <c r="S41" i="10"/>
  <c r="C98" i="4"/>
  <c r="T42" i="10" s="1"/>
  <c r="C97" i="4"/>
  <c r="B29" i="9" s="1"/>
  <c r="B30" i="9" s="1"/>
  <c r="C95" i="4"/>
  <c r="F95" i="4" s="1"/>
  <c r="P1" i="19"/>
  <c r="H21" i="19" s="1"/>
  <c r="P1" i="20"/>
  <c r="P2" i="20" s="1"/>
  <c r="P1" i="21"/>
  <c r="A264" i="21" s="1"/>
  <c r="AH264" i="21" s="1"/>
  <c r="P1" i="22"/>
  <c r="A264" i="22" s="1"/>
  <c r="P264" i="22" s="1"/>
  <c r="BC264" i="22" s="1"/>
  <c r="P1" i="23"/>
  <c r="A264" i="23" s="1"/>
  <c r="G360" i="23" s="1"/>
  <c r="P1" i="24"/>
  <c r="A264" i="24" s="1"/>
  <c r="G360" i="24" s="1"/>
  <c r="P1" i="25"/>
  <c r="A264" i="25" s="1"/>
  <c r="P264" i="25" s="1"/>
  <c r="BC264" i="25" s="1"/>
  <c r="P1" i="26"/>
  <c r="P2" i="26" s="1"/>
  <c r="P1" i="27"/>
  <c r="P2" i="27" s="1"/>
  <c r="P1" i="28"/>
  <c r="A264" i="28" s="1"/>
  <c r="AH264" i="28" s="1"/>
  <c r="P1" i="29"/>
  <c r="A264" i="29" s="1"/>
  <c r="P264" i="29" s="1"/>
  <c r="BC264" i="29" s="1"/>
  <c r="Q34" i="10"/>
  <c r="Q35" i="10"/>
  <c r="Q36" i="10"/>
  <c r="Q37" i="10"/>
  <c r="Q38" i="10"/>
  <c r="Q39" i="10"/>
  <c r="Q40" i="10"/>
  <c r="Q41" i="10"/>
  <c r="L8" i="9"/>
  <c r="M8" i="9"/>
  <c r="N8" i="9"/>
  <c r="C87" i="15"/>
  <c r="C74" i="4"/>
  <c r="C75" i="4"/>
  <c r="D65" i="31" s="1"/>
  <c r="C77" i="4"/>
  <c r="D67" i="31" s="1"/>
  <c r="C78" i="4"/>
  <c r="D68" i="31" s="1"/>
  <c r="C90" i="4"/>
  <c r="B23" i="9" s="1"/>
  <c r="C23" i="9" s="1"/>
  <c r="C79" i="4"/>
  <c r="O321" i="22" s="1"/>
  <c r="O322" i="19"/>
  <c r="D71" i="31"/>
  <c r="C82" i="4"/>
  <c r="D72" i="31" s="1"/>
  <c r="D94" i="31"/>
  <c r="D96" i="31"/>
  <c r="F106" i="4"/>
  <c r="F107" i="4"/>
  <c r="B45" i="8" s="1"/>
  <c r="C94" i="4"/>
  <c r="D84" i="31" s="1"/>
  <c r="D14" i="31"/>
  <c r="C107" i="31"/>
  <c r="C106" i="31"/>
  <c r="C99" i="31"/>
  <c r="C98" i="31"/>
  <c r="C93" i="31"/>
  <c r="C92" i="31"/>
  <c r="C91" i="31"/>
  <c r="C90" i="31"/>
  <c r="C89" i="31"/>
  <c r="C83" i="31"/>
  <c r="C82" i="31"/>
  <c r="C81" i="31"/>
  <c r="C79" i="31"/>
  <c r="C78" i="31"/>
  <c r="C76" i="31"/>
  <c r="C73" i="31"/>
  <c r="C60" i="31"/>
  <c r="C59" i="31"/>
  <c r="C58" i="31"/>
  <c r="C52" i="31"/>
  <c r="C48" i="31"/>
  <c r="C47" i="31"/>
  <c r="C46" i="31"/>
  <c r="C43" i="31"/>
  <c r="C42" i="31"/>
  <c r="C40" i="31"/>
  <c r="C39" i="31"/>
  <c r="C38" i="31"/>
  <c r="C35" i="31"/>
  <c r="C34" i="31"/>
  <c r="C33" i="31"/>
  <c r="C32" i="31"/>
  <c r="C31" i="31"/>
  <c r="C30" i="31"/>
  <c r="C29" i="31"/>
  <c r="C28" i="31"/>
  <c r="C27" i="31"/>
  <c r="C26" i="31"/>
  <c r="C24" i="31"/>
  <c r="C23" i="31"/>
  <c r="C22" i="31"/>
  <c r="C19" i="31"/>
  <c r="C18" i="31"/>
  <c r="C17" i="31"/>
  <c r="C16" i="31"/>
  <c r="C15" i="31"/>
  <c r="C14" i="31"/>
  <c r="C13" i="31"/>
  <c r="C12" i="31"/>
  <c r="C11" i="31"/>
  <c r="C10" i="31"/>
  <c r="C9" i="31"/>
  <c r="C7" i="31"/>
  <c r="C6" i="31"/>
  <c r="C5" i="31"/>
  <c r="E97" i="31"/>
  <c r="E96" i="31"/>
  <c r="D95" i="31"/>
  <c r="E95" i="31"/>
  <c r="E94" i="31"/>
  <c r="E88" i="31"/>
  <c r="E85" i="31"/>
  <c r="E84" i="31"/>
  <c r="E77" i="31"/>
  <c r="D76" i="31"/>
  <c r="E69" i="31"/>
  <c r="E59" i="31"/>
  <c r="E58" i="31"/>
  <c r="E57" i="31"/>
  <c r="E56" i="31"/>
  <c r="D50" i="31"/>
  <c r="AB950" i="10"/>
  <c r="E108" i="31"/>
  <c r="E104" i="31"/>
  <c r="E103" i="31"/>
  <c r="E101" i="31"/>
  <c r="D48" i="31"/>
  <c r="D47" i="31"/>
  <c r="D45" i="31"/>
  <c r="D43" i="31"/>
  <c r="D42" i="31"/>
  <c r="D40" i="31"/>
  <c r="D39" i="31"/>
  <c r="D36" i="31"/>
  <c r="D35" i="31"/>
  <c r="D34" i="31"/>
  <c r="D33" i="31"/>
  <c r="E32" i="31"/>
  <c r="D32" i="31"/>
  <c r="E31" i="31"/>
  <c r="D31" i="31"/>
  <c r="E30" i="31"/>
  <c r="D30" i="31"/>
  <c r="E29" i="31"/>
  <c r="D29" i="31"/>
  <c r="E28" i="31"/>
  <c r="D28" i="31"/>
  <c r="E27" i="31"/>
  <c r="D27" i="31"/>
  <c r="E26" i="31"/>
  <c r="D26" i="31"/>
  <c r="E25" i="31"/>
  <c r="D25" i="31"/>
  <c r="E24" i="31"/>
  <c r="D24" i="31"/>
  <c r="E23" i="31"/>
  <c r="D23" i="31"/>
  <c r="E22" i="31"/>
  <c r="D22" i="31"/>
  <c r="E21" i="31"/>
  <c r="D20" i="31"/>
  <c r="E19" i="31"/>
  <c r="D19" i="31"/>
  <c r="E18" i="31"/>
  <c r="E17" i="31"/>
  <c r="D17" i="31"/>
  <c r="E16" i="31"/>
  <c r="D16" i="31"/>
  <c r="E15" i="31"/>
  <c r="D15" i="31"/>
  <c r="E14" i="31"/>
  <c r="E13" i="31"/>
  <c r="D13" i="31"/>
  <c r="E12" i="31"/>
  <c r="D12" i="31"/>
  <c r="E11" i="31"/>
  <c r="D11" i="31"/>
  <c r="E10" i="31"/>
  <c r="D10" i="31"/>
  <c r="E9" i="31"/>
  <c r="D9" i="31"/>
  <c r="E7" i="31"/>
  <c r="D7" i="31"/>
  <c r="E6" i="31"/>
  <c r="D6" i="31"/>
  <c r="E5" i="31"/>
  <c r="D5" i="31"/>
  <c r="E4" i="31"/>
  <c r="D4" i="31"/>
  <c r="C4" i="31"/>
  <c r="Q38" i="21"/>
  <c r="Q37" i="21"/>
  <c r="Q38" i="22"/>
  <c r="Q37" i="22"/>
  <c r="Q38" i="23"/>
  <c r="Q37" i="23"/>
  <c r="Q38" i="24"/>
  <c r="Q37" i="24"/>
  <c r="Q38" i="25"/>
  <c r="Q37" i="25"/>
  <c r="Q38" i="26"/>
  <c r="Q37" i="26"/>
  <c r="Q38" i="27"/>
  <c r="Q37" i="27"/>
  <c r="Q38" i="28"/>
  <c r="Q37" i="28"/>
  <c r="Q38" i="29"/>
  <c r="Q37" i="29"/>
  <c r="Q38" i="20"/>
  <c r="Q37" i="20"/>
  <c r="Q38" i="19"/>
  <c r="Q37" i="19"/>
  <c r="E62" i="31"/>
  <c r="G407" i="25"/>
  <c r="D61" i="31"/>
  <c r="D64" i="31"/>
  <c r="I33" i="10"/>
  <c r="I34" i="10"/>
  <c r="AB245" i="10"/>
  <c r="E72" i="31"/>
  <c r="G409" i="22"/>
  <c r="E70" i="31"/>
  <c r="D54" i="31"/>
  <c r="H377" i="24"/>
  <c r="I35" i="10"/>
  <c r="I36" i="10"/>
  <c r="I37" i="10"/>
  <c r="I38" i="10"/>
  <c r="I39" i="10"/>
  <c r="I40" i="10"/>
  <c r="I41" i="10"/>
  <c r="E87" i="10"/>
  <c r="E88" i="10"/>
  <c r="E89" i="10"/>
  <c r="E90" i="10"/>
  <c r="E91" i="10"/>
  <c r="E92" i="10"/>
  <c r="E93" i="10"/>
  <c r="E94" i="10"/>
  <c r="E95" i="10"/>
  <c r="E96" i="10"/>
  <c r="E97" i="10"/>
  <c r="E98" i="10"/>
  <c r="E99" i="10"/>
  <c r="E100" i="10"/>
  <c r="E34" i="10"/>
  <c r="E35" i="10"/>
  <c r="E36" i="10"/>
  <c r="E37" i="10"/>
  <c r="E38" i="10"/>
  <c r="E39" i="10"/>
  <c r="E40" i="10"/>
  <c r="E41" i="10"/>
  <c r="AB369" i="10"/>
  <c r="AK263" i="3"/>
  <c r="AR263" i="3"/>
  <c r="L10" i="9"/>
  <c r="M10" i="9"/>
  <c r="N10" i="9"/>
  <c r="BE263" i="3"/>
  <c r="C295" i="3"/>
  <c r="D295" i="3"/>
  <c r="C295" i="19"/>
  <c r="D295" i="19"/>
  <c r="C295" i="20"/>
  <c r="D295" i="20"/>
  <c r="J227" i="19"/>
  <c r="J227" i="20"/>
  <c r="J227" i="21"/>
  <c r="J227" i="22"/>
  <c r="J227" i="23"/>
  <c r="J227" i="24"/>
  <c r="J227" i="25"/>
  <c r="J227" i="26"/>
  <c r="J227" i="27"/>
  <c r="J227" i="28"/>
  <c r="J227" i="29"/>
  <c r="J227" i="3"/>
  <c r="D57" i="31"/>
  <c r="C118" i="4"/>
  <c r="D108" i="31" s="1"/>
  <c r="D97" i="31"/>
  <c r="C46" i="4"/>
  <c r="D38" i="31" s="1"/>
  <c r="BB263" i="3"/>
  <c r="AV263" i="3"/>
  <c r="K32" i="10"/>
  <c r="K33" i="10"/>
  <c r="K34" i="10"/>
  <c r="K35" i="10"/>
  <c r="K36" i="10"/>
  <c r="K37" i="10"/>
  <c r="K38" i="10"/>
  <c r="K39" i="10"/>
  <c r="K40" i="10"/>
  <c r="K41" i="10"/>
  <c r="B295" i="3"/>
  <c r="A86" i="10"/>
  <c r="A87" i="10"/>
  <c r="A88" i="10"/>
  <c r="A89" i="10"/>
  <c r="A90" i="10"/>
  <c r="A91" i="10"/>
  <c r="A92" i="10"/>
  <c r="A93" i="10"/>
  <c r="A94" i="10"/>
  <c r="A95" i="10"/>
  <c r="A96" i="10"/>
  <c r="A97" i="10"/>
  <c r="A98" i="10"/>
  <c r="A99" i="10"/>
  <c r="A100" i="10"/>
  <c r="O17" i="9"/>
  <c r="P17" i="9"/>
  <c r="G376" i="3"/>
  <c r="N318" i="3"/>
  <c r="H385" i="3"/>
  <c r="H402" i="3"/>
  <c r="W32" i="10"/>
  <c r="P299" i="3"/>
  <c r="J360" i="3"/>
  <c r="H410" i="3"/>
  <c r="G411" i="3"/>
  <c r="G412" i="3"/>
  <c r="G432" i="3"/>
  <c r="I433" i="3"/>
  <c r="A434" i="3"/>
  <c r="A91" i="18" s="1"/>
  <c r="G437" i="3"/>
  <c r="I444" i="3"/>
  <c r="C101" i="18" s="1"/>
  <c r="A445" i="3"/>
  <c r="A102" i="18" s="1"/>
  <c r="A454" i="3"/>
  <c r="M454" i="3" s="1"/>
  <c r="A455" i="3"/>
  <c r="M455" i="3" s="1"/>
  <c r="P50" i="3"/>
  <c r="P3" i="3"/>
  <c r="B295" i="20"/>
  <c r="B296" i="20" s="1"/>
  <c r="Q17" i="9"/>
  <c r="R17" i="9"/>
  <c r="G376" i="20"/>
  <c r="N318" i="19"/>
  <c r="N318" i="20"/>
  <c r="H385" i="20"/>
  <c r="H402" i="20"/>
  <c r="P299" i="20"/>
  <c r="J360" i="20"/>
  <c r="P51" i="20" s="1"/>
  <c r="H410" i="20"/>
  <c r="G411" i="20"/>
  <c r="I433" i="20"/>
  <c r="A434" i="20"/>
  <c r="I444" i="20"/>
  <c r="E101" i="18" s="1"/>
  <c r="A445" i="20"/>
  <c r="A454" i="20"/>
  <c r="M454" i="20" s="1"/>
  <c r="A455" i="20"/>
  <c r="M455" i="20" s="1"/>
  <c r="P50" i="20"/>
  <c r="P3" i="20"/>
  <c r="S17" i="9"/>
  <c r="G376" i="21"/>
  <c r="N318" i="21"/>
  <c r="H402" i="21"/>
  <c r="P299" i="21"/>
  <c r="J360" i="21"/>
  <c r="J361" i="21" s="1"/>
  <c r="H410" i="21"/>
  <c r="G411" i="21"/>
  <c r="I433" i="21"/>
  <c r="F90" i="18" s="1"/>
  <c r="A434" i="21"/>
  <c r="I444" i="21"/>
  <c r="F101" i="18" s="1"/>
  <c r="A445" i="21"/>
  <c r="A454" i="21"/>
  <c r="M454" i="21" s="1"/>
  <c r="A455" i="21"/>
  <c r="M455" i="21" s="1"/>
  <c r="P50" i="21"/>
  <c r="P3" i="21"/>
  <c r="T17" i="9"/>
  <c r="G376" i="22"/>
  <c r="N318" i="22"/>
  <c r="H402" i="22"/>
  <c r="P299" i="22"/>
  <c r="J360" i="22"/>
  <c r="P51" i="22" s="1"/>
  <c r="H410" i="22"/>
  <c r="G411" i="22"/>
  <c r="I433" i="22"/>
  <c r="G90" i="18" s="1"/>
  <c r="A434" i="22"/>
  <c r="I444" i="22"/>
  <c r="G101" i="18" s="1"/>
  <c r="A445" i="22"/>
  <c r="A454" i="22"/>
  <c r="M454" i="22" s="1"/>
  <c r="A455" i="22"/>
  <c r="M455" i="22" s="1"/>
  <c r="P50" i="22"/>
  <c r="P3" i="22"/>
  <c r="U17" i="9"/>
  <c r="G376" i="23"/>
  <c r="N318" i="23"/>
  <c r="H402" i="23"/>
  <c r="P299" i="23"/>
  <c r="J360" i="23"/>
  <c r="J361" i="23" s="1"/>
  <c r="H410" i="23"/>
  <c r="G411" i="23"/>
  <c r="I433" i="23"/>
  <c r="A434" i="23"/>
  <c r="I444" i="23"/>
  <c r="H101" i="18" s="1"/>
  <c r="A445" i="23"/>
  <c r="A454" i="23"/>
  <c r="M454" i="23" s="1"/>
  <c r="A455" i="23"/>
  <c r="M455" i="23" s="1"/>
  <c r="P50" i="23"/>
  <c r="P3" i="23"/>
  <c r="V17" i="9"/>
  <c r="G376" i="24"/>
  <c r="N318" i="24"/>
  <c r="H402" i="24"/>
  <c r="P299" i="24"/>
  <c r="J360" i="24"/>
  <c r="J361" i="24" s="1"/>
  <c r="H410" i="24"/>
  <c r="G411" i="24"/>
  <c r="I433" i="24"/>
  <c r="A434" i="24"/>
  <c r="I444" i="24"/>
  <c r="I101" i="18" s="1"/>
  <c r="A445" i="24"/>
  <c r="A454" i="24"/>
  <c r="M454" i="24" s="1"/>
  <c r="A455" i="24"/>
  <c r="M455" i="24" s="1"/>
  <c r="P50" i="24"/>
  <c r="P3" i="24"/>
  <c r="W17" i="9"/>
  <c r="G376" i="25"/>
  <c r="N318" i="25"/>
  <c r="H402" i="25"/>
  <c r="P299" i="25"/>
  <c r="J360" i="25"/>
  <c r="P51" i="25" s="1"/>
  <c r="G411" i="25"/>
  <c r="I433" i="25"/>
  <c r="J90" i="18" s="1"/>
  <c r="A434" i="25"/>
  <c r="I444" i="25"/>
  <c r="J101" i="18" s="1"/>
  <c r="A445" i="25"/>
  <c r="A454" i="25"/>
  <c r="M454" i="25" s="1"/>
  <c r="A455" i="25"/>
  <c r="M455" i="25" s="1"/>
  <c r="P50" i="25"/>
  <c r="P3" i="25"/>
  <c r="X17" i="9"/>
  <c r="G376" i="26"/>
  <c r="N318" i="26"/>
  <c r="H402" i="26"/>
  <c r="P299" i="26"/>
  <c r="J360" i="26"/>
  <c r="J361" i="26" s="1"/>
  <c r="H410" i="26"/>
  <c r="G411" i="26"/>
  <c r="I433" i="26"/>
  <c r="K90" i="18" s="1"/>
  <c r="A434" i="26"/>
  <c r="I444" i="26"/>
  <c r="K101" i="18" s="1"/>
  <c r="A445" i="26"/>
  <c r="A454" i="26"/>
  <c r="M454" i="26" s="1"/>
  <c r="A455" i="26"/>
  <c r="M455" i="26" s="1"/>
  <c r="P50" i="26"/>
  <c r="P3" i="26"/>
  <c r="Y17" i="9"/>
  <c r="G376" i="27"/>
  <c r="N318" i="27"/>
  <c r="H402" i="27"/>
  <c r="P299" i="27"/>
  <c r="J360" i="27"/>
  <c r="J361" i="27" s="1"/>
  <c r="G411" i="27"/>
  <c r="I433" i="27"/>
  <c r="A434" i="27"/>
  <c r="I444" i="27"/>
  <c r="A445" i="27"/>
  <c r="A454" i="27"/>
  <c r="M454" i="27" s="1"/>
  <c r="A455" i="27"/>
  <c r="M455" i="27" s="1"/>
  <c r="P50" i="27"/>
  <c r="P3" i="27"/>
  <c r="Z17" i="9"/>
  <c r="G376" i="28"/>
  <c r="N318" i="28"/>
  <c r="H402" i="28"/>
  <c r="P299" i="28"/>
  <c r="J360" i="28"/>
  <c r="P51" i="28" s="1"/>
  <c r="H410" i="28"/>
  <c r="G411" i="28"/>
  <c r="I433" i="28"/>
  <c r="A434" i="28"/>
  <c r="I444" i="28"/>
  <c r="A445" i="28"/>
  <c r="A454" i="28"/>
  <c r="M454" i="28" s="1"/>
  <c r="A455" i="28"/>
  <c r="M455" i="28" s="1"/>
  <c r="P50" i="28"/>
  <c r="P3" i="28"/>
  <c r="B295" i="19"/>
  <c r="G376" i="19"/>
  <c r="H402" i="19"/>
  <c r="G376" i="29"/>
  <c r="N318" i="29"/>
  <c r="H402" i="29"/>
  <c r="AA17" i="9"/>
  <c r="P299" i="29"/>
  <c r="J360" i="29"/>
  <c r="G411" i="29"/>
  <c r="I433" i="29"/>
  <c r="N90" i="18" s="1"/>
  <c r="A434" i="29"/>
  <c r="I444" i="29"/>
  <c r="A445" i="29"/>
  <c r="A454" i="29"/>
  <c r="M454" i="29" s="1"/>
  <c r="A455" i="29"/>
  <c r="M455" i="29" s="1"/>
  <c r="P50" i="29"/>
  <c r="P3" i="29"/>
  <c r="A253" i="20"/>
  <c r="A251" i="20"/>
  <c r="A250" i="20"/>
  <c r="O241" i="20"/>
  <c r="O240" i="20"/>
  <c r="G240" i="20" s="1"/>
  <c r="O239" i="20"/>
  <c r="A239" i="20" s="1"/>
  <c r="O235" i="20"/>
  <c r="E235" i="20" s="1"/>
  <c r="O210" i="20"/>
  <c r="A210" i="20" s="1"/>
  <c r="O209" i="20"/>
  <c r="O208" i="20"/>
  <c r="E208" i="20" s="1"/>
  <c r="O207" i="20"/>
  <c r="A207" i="20" s="1"/>
  <c r="O205" i="20"/>
  <c r="A205" i="20" s="1"/>
  <c r="O153" i="20"/>
  <c r="A252" i="21"/>
  <c r="E253" i="21"/>
  <c r="A251" i="21"/>
  <c r="A250" i="21"/>
  <c r="O241" i="21"/>
  <c r="O240" i="21"/>
  <c r="O239" i="21"/>
  <c r="E239" i="21" s="1"/>
  <c r="O235" i="21"/>
  <c r="A235" i="21" s="1"/>
  <c r="O210" i="21"/>
  <c r="A210" i="21" s="1"/>
  <c r="O209" i="21"/>
  <c r="O208" i="21"/>
  <c r="A208" i="21" s="1"/>
  <c r="O207" i="21"/>
  <c r="A207" i="21" s="1"/>
  <c r="O205" i="21"/>
  <c r="E205" i="21" s="1"/>
  <c r="O153" i="21"/>
  <c r="E253" i="22"/>
  <c r="E251" i="22"/>
  <c r="A250" i="22"/>
  <c r="O241" i="22"/>
  <c r="O240" i="22"/>
  <c r="G240" i="22" s="1"/>
  <c r="O239" i="22"/>
  <c r="A239" i="22" s="1"/>
  <c r="O235" i="22"/>
  <c r="E235" i="22" s="1"/>
  <c r="O210" i="22"/>
  <c r="A210" i="22" s="1"/>
  <c r="O209" i="22"/>
  <c r="O208" i="22"/>
  <c r="E208" i="22" s="1"/>
  <c r="O207" i="22"/>
  <c r="A207" i="22" s="1"/>
  <c r="O205" i="22"/>
  <c r="A205" i="22" s="1"/>
  <c r="O153" i="22"/>
  <c r="E249" i="23"/>
  <c r="A253" i="23"/>
  <c r="E251" i="23"/>
  <c r="A250" i="23"/>
  <c r="O210" i="23"/>
  <c r="E210" i="23" s="1"/>
  <c r="O209" i="23"/>
  <c r="A209" i="23" s="1"/>
  <c r="O208" i="23"/>
  <c r="O207" i="23"/>
  <c r="A207" i="23" s="1"/>
  <c r="O205" i="23"/>
  <c r="A205" i="23" s="1"/>
  <c r="O153" i="23"/>
  <c r="O324" i="24"/>
  <c r="A253" i="24"/>
  <c r="E251" i="24"/>
  <c r="A250" i="24"/>
  <c r="O241" i="24"/>
  <c r="O240" i="24"/>
  <c r="G240" i="24" s="1"/>
  <c r="O239" i="24"/>
  <c r="A239" i="24" s="1"/>
  <c r="O235" i="24"/>
  <c r="E235" i="24" s="1"/>
  <c r="O210" i="24"/>
  <c r="O209" i="24"/>
  <c r="E209" i="24" s="1"/>
  <c r="O208" i="24"/>
  <c r="A208" i="24" s="1"/>
  <c r="O207" i="24"/>
  <c r="A207" i="24" s="1"/>
  <c r="O205" i="24"/>
  <c r="A205" i="24" s="1"/>
  <c r="O153" i="24"/>
  <c r="E253" i="25"/>
  <c r="E250" i="25"/>
  <c r="O241" i="25"/>
  <c r="O240" i="25"/>
  <c r="O239" i="25"/>
  <c r="E239" i="25" s="1"/>
  <c r="O235" i="25"/>
  <c r="A235" i="25" s="1"/>
  <c r="O210" i="25"/>
  <c r="O208" i="25"/>
  <c r="A208" i="25" s="1"/>
  <c r="O207" i="25"/>
  <c r="E207" i="25" s="1"/>
  <c r="O205" i="25"/>
  <c r="A205" i="25" s="1"/>
  <c r="O153" i="25"/>
  <c r="A253" i="26"/>
  <c r="A251" i="26"/>
  <c r="A250" i="26"/>
  <c r="O241" i="26"/>
  <c r="G241" i="26" s="1"/>
  <c r="O240" i="26"/>
  <c r="G240" i="26" s="1"/>
  <c r="O239" i="26"/>
  <c r="A239" i="26" s="1"/>
  <c r="O235" i="26"/>
  <c r="A235" i="26" s="1"/>
  <c r="O210" i="26"/>
  <c r="A210" i="26" s="1"/>
  <c r="O209" i="26"/>
  <c r="O208" i="26"/>
  <c r="E208" i="26" s="1"/>
  <c r="O207" i="26"/>
  <c r="E207" i="26" s="1"/>
  <c r="O205" i="26"/>
  <c r="E205" i="26" s="1"/>
  <c r="O153" i="26"/>
  <c r="E249" i="27"/>
  <c r="A253" i="27"/>
  <c r="E251" i="27"/>
  <c r="E250" i="27"/>
  <c r="O241" i="27"/>
  <c r="O240" i="27"/>
  <c r="G240" i="27" s="1"/>
  <c r="O239" i="27"/>
  <c r="A239" i="27" s="1"/>
  <c r="O235" i="27"/>
  <c r="A235" i="27" s="1"/>
  <c r="O210" i="27"/>
  <c r="E210" i="27" s="1"/>
  <c r="O208" i="27"/>
  <c r="A208" i="27" s="1"/>
  <c r="O207" i="27"/>
  <c r="E207" i="27" s="1"/>
  <c r="O205" i="27"/>
  <c r="A205" i="27" s="1"/>
  <c r="O153" i="27"/>
  <c r="E253" i="28"/>
  <c r="E251" i="28"/>
  <c r="A250" i="28"/>
  <c r="O241" i="28"/>
  <c r="O240" i="28"/>
  <c r="O239" i="28"/>
  <c r="A239" i="28" s="1"/>
  <c r="O235" i="28"/>
  <c r="A235" i="28" s="1"/>
  <c r="O210" i="28"/>
  <c r="A210" i="28" s="1"/>
  <c r="O209" i="28"/>
  <c r="O208" i="28"/>
  <c r="A208" i="28" s="1"/>
  <c r="O207" i="28"/>
  <c r="A207" i="28" s="1"/>
  <c r="O205" i="28"/>
  <c r="A205" i="28" s="1"/>
  <c r="O153" i="28"/>
  <c r="A253" i="29"/>
  <c r="E250" i="29"/>
  <c r="O241" i="29"/>
  <c r="G241" i="29" s="1"/>
  <c r="O240" i="29"/>
  <c r="G240" i="29" s="1"/>
  <c r="O239" i="29"/>
  <c r="A239" i="29" s="1"/>
  <c r="O235" i="29"/>
  <c r="E235" i="29" s="1"/>
  <c r="O210" i="29"/>
  <c r="A210" i="29" s="1"/>
  <c r="O209" i="29"/>
  <c r="A209" i="29" s="1"/>
  <c r="O208" i="29"/>
  <c r="E208" i="29" s="1"/>
  <c r="O207" i="29"/>
  <c r="E207" i="29" s="1"/>
  <c r="O205" i="29"/>
  <c r="A205" i="29" s="1"/>
  <c r="O153" i="29"/>
  <c r="E253" i="3"/>
  <c r="A251" i="3"/>
  <c r="O241" i="3"/>
  <c r="G241" i="3" s="1"/>
  <c r="O240" i="3"/>
  <c r="O239" i="3"/>
  <c r="A239" i="3" s="1"/>
  <c r="O235" i="3"/>
  <c r="E235" i="3" s="1"/>
  <c r="O210" i="3"/>
  <c r="A210" i="3" s="1"/>
  <c r="O209" i="3"/>
  <c r="O208" i="3"/>
  <c r="E208" i="3" s="1"/>
  <c r="O207" i="3"/>
  <c r="A207" i="3" s="1"/>
  <c r="O205" i="3"/>
  <c r="E205" i="3" s="1"/>
  <c r="O153" i="3"/>
  <c r="AJ161" i="20"/>
  <c r="AJ161" i="3"/>
  <c r="AM8" i="10"/>
  <c r="M36" i="10" s="1"/>
  <c r="B61" i="8" s="1"/>
  <c r="M32" i="10"/>
  <c r="B57" i="8" s="1"/>
  <c r="M33" i="10"/>
  <c r="B58" i="8" s="1"/>
  <c r="M46" i="10"/>
  <c r="M35" i="10"/>
  <c r="B60" i="8" s="1"/>
  <c r="M45" i="10"/>
  <c r="AM13" i="10"/>
  <c r="M41" i="10" s="1"/>
  <c r="B66" i="8" s="1"/>
  <c r="AM11" i="10"/>
  <c r="M39" i="10" s="1"/>
  <c r="B64" i="8" s="1"/>
  <c r="M49" i="10"/>
  <c r="AM9" i="10"/>
  <c r="M37" i="10" s="1"/>
  <c r="B62" i="8" s="1"/>
  <c r="M47" i="10"/>
  <c r="M34" i="10"/>
  <c r="B59" i="8" s="1"/>
  <c r="C295" i="21"/>
  <c r="D295" i="21"/>
  <c r="C295" i="22"/>
  <c r="D295" i="22"/>
  <c r="C295" i="23"/>
  <c r="D295" i="23"/>
  <c r="C295" i="24"/>
  <c r="D295" i="24"/>
  <c r="C295" i="25"/>
  <c r="D295" i="25"/>
  <c r="C295" i="26"/>
  <c r="D295" i="26"/>
  <c r="C295" i="27"/>
  <c r="D295" i="27"/>
  <c r="C295" i="28"/>
  <c r="D295" i="28"/>
  <c r="B295" i="21"/>
  <c r="B296" i="21" s="1"/>
  <c r="B295" i="22"/>
  <c r="B296" i="22" s="1"/>
  <c r="B295" i="23"/>
  <c r="B295" i="24"/>
  <c r="B295" i="25"/>
  <c r="B295" i="26"/>
  <c r="B295" i="27"/>
  <c r="B295" i="28"/>
  <c r="D295" i="29"/>
  <c r="C295" i="29"/>
  <c r="B295" i="29"/>
  <c r="B65" i="8"/>
  <c r="M44" i="10"/>
  <c r="AM10" i="10"/>
  <c r="M38" i="10" s="1"/>
  <c r="B63" i="8" s="1"/>
  <c r="M42" i="10"/>
  <c r="AJ161" i="19"/>
  <c r="A34" i="10"/>
  <c r="M43" i="10"/>
  <c r="AJ184" i="19"/>
  <c r="AJ181" i="20"/>
  <c r="AJ181" i="21"/>
  <c r="AJ181" i="22"/>
  <c r="AJ181" i="23"/>
  <c r="AJ181" i="24"/>
  <c r="AJ181" i="25"/>
  <c r="AJ181" i="26"/>
  <c r="AJ181" i="27"/>
  <c r="AJ181" i="28"/>
  <c r="AJ181" i="29"/>
  <c r="AJ181" i="3"/>
  <c r="AJ173" i="19"/>
  <c r="AJ171" i="20"/>
  <c r="AJ171" i="21"/>
  <c r="AJ171" i="22"/>
  <c r="AJ171" i="23"/>
  <c r="AJ171" i="24"/>
  <c r="AJ171" i="25"/>
  <c r="AJ171" i="26"/>
  <c r="AJ171" i="27"/>
  <c r="AJ171" i="28"/>
  <c r="AJ171" i="29"/>
  <c r="AJ171" i="3"/>
  <c r="AJ161" i="21"/>
  <c r="AJ161" i="22"/>
  <c r="AJ161" i="23"/>
  <c r="AJ161" i="24"/>
  <c r="AJ161" i="25"/>
  <c r="AJ161" i="26"/>
  <c r="AJ161" i="27"/>
  <c r="AJ161" i="28"/>
  <c r="AJ161" i="29"/>
  <c r="AJ237" i="19"/>
  <c r="AJ237" i="20"/>
  <c r="AJ237" i="21"/>
  <c r="AJ237" i="22"/>
  <c r="AJ237" i="23"/>
  <c r="AJ237" i="24"/>
  <c r="AJ237" i="25"/>
  <c r="AJ237" i="26"/>
  <c r="AJ237" i="27"/>
  <c r="AJ237" i="28"/>
  <c r="AJ237" i="29"/>
  <c r="AJ237" i="3"/>
  <c r="AJ227" i="19"/>
  <c r="AJ227" i="20"/>
  <c r="AJ227" i="21"/>
  <c r="AJ227" i="22"/>
  <c r="AJ227" i="23"/>
  <c r="AJ227" i="24"/>
  <c r="AJ227" i="25"/>
  <c r="AJ227" i="26"/>
  <c r="AJ227" i="27"/>
  <c r="AJ227" i="28"/>
  <c r="AJ227" i="29"/>
  <c r="AJ227" i="3"/>
  <c r="AJ217" i="19"/>
  <c r="AJ217" i="20"/>
  <c r="AJ217" i="21"/>
  <c r="AJ217" i="22"/>
  <c r="AJ217" i="23"/>
  <c r="AJ217" i="24"/>
  <c r="AJ217" i="25"/>
  <c r="AJ217" i="26"/>
  <c r="AJ217" i="27"/>
  <c r="AJ217" i="28"/>
  <c r="AJ217" i="29"/>
  <c r="AJ217" i="3"/>
  <c r="BH330" i="10"/>
  <c r="BH329" i="10"/>
  <c r="Q38" i="3"/>
  <c r="Q37" i="3"/>
  <c r="C61" i="15"/>
  <c r="F3" i="30"/>
  <c r="C79" i="15"/>
  <c r="H410" i="19"/>
  <c r="C75" i="18"/>
  <c r="D75" i="18"/>
  <c r="E75" i="18"/>
  <c r="F75" i="18"/>
  <c r="G75" i="18"/>
  <c r="H75" i="18"/>
  <c r="I75" i="18"/>
  <c r="J75" i="18"/>
  <c r="K75" i="18"/>
  <c r="L75" i="18"/>
  <c r="M75" i="18"/>
  <c r="N75" i="18"/>
  <c r="C73" i="18"/>
  <c r="D73" i="18"/>
  <c r="E73" i="18"/>
  <c r="F73" i="18"/>
  <c r="G73" i="18"/>
  <c r="H73" i="18"/>
  <c r="I73" i="18"/>
  <c r="J73" i="18"/>
  <c r="K73" i="18"/>
  <c r="L73" i="18"/>
  <c r="M73" i="18"/>
  <c r="N73" i="18"/>
  <c r="J360" i="19"/>
  <c r="P51" i="19" s="1"/>
  <c r="C320" i="19"/>
  <c r="C319" i="19"/>
  <c r="C320" i="20"/>
  <c r="C319" i="20"/>
  <c r="C320" i="21"/>
  <c r="C319" i="21"/>
  <c r="C320" i="22"/>
  <c r="C319" i="22"/>
  <c r="C320" i="23"/>
  <c r="C319" i="23"/>
  <c r="C320" i="24"/>
  <c r="C319" i="24"/>
  <c r="C320" i="25"/>
  <c r="C319" i="25"/>
  <c r="C320" i="26"/>
  <c r="C319" i="26"/>
  <c r="C320" i="27"/>
  <c r="C319" i="27"/>
  <c r="C320" i="28"/>
  <c r="C319" i="28"/>
  <c r="C320" i="29"/>
  <c r="C319" i="29"/>
  <c r="C320" i="3"/>
  <c r="C319" i="3"/>
  <c r="A43" i="18"/>
  <c r="I444" i="19"/>
  <c r="A445" i="19"/>
  <c r="M101" i="18"/>
  <c r="I433" i="19"/>
  <c r="D90" i="18" s="1"/>
  <c r="E90" i="18"/>
  <c r="M90" i="18"/>
  <c r="A434" i="19"/>
  <c r="A454" i="19"/>
  <c r="M454" i="19" s="1"/>
  <c r="A455" i="19"/>
  <c r="M455" i="19" s="1"/>
  <c r="I7" i="18"/>
  <c r="F299" i="3"/>
  <c r="F305" i="3"/>
  <c r="F305" i="19"/>
  <c r="F305" i="20"/>
  <c r="F305" i="21"/>
  <c r="F305" i="22"/>
  <c r="F305" i="23"/>
  <c r="F305" i="24"/>
  <c r="F305" i="25"/>
  <c r="F305" i="26"/>
  <c r="F305" i="27"/>
  <c r="F305" i="28"/>
  <c r="C52" i="15"/>
  <c r="P299" i="19"/>
  <c r="AB195" i="10"/>
  <c r="C44" i="18"/>
  <c r="D44" i="18"/>
  <c r="E44" i="18"/>
  <c r="F44" i="18"/>
  <c r="G44" i="18"/>
  <c r="H44" i="18"/>
  <c r="I44" i="18"/>
  <c r="J44" i="18"/>
  <c r="K44" i="18"/>
  <c r="L44" i="18"/>
  <c r="M44" i="18"/>
  <c r="N44" i="18"/>
  <c r="C53" i="18"/>
  <c r="D53" i="18"/>
  <c r="E53" i="18"/>
  <c r="F53" i="18"/>
  <c r="G53" i="18"/>
  <c r="H53" i="18"/>
  <c r="I53" i="18"/>
  <c r="J53" i="18"/>
  <c r="K53" i="18"/>
  <c r="L53" i="18"/>
  <c r="M53" i="18"/>
  <c r="N53" i="18"/>
  <c r="G364" i="22"/>
  <c r="C40" i="15"/>
  <c r="C41" i="15"/>
  <c r="A360" i="19"/>
  <c r="C36" i="15"/>
  <c r="C37" i="15"/>
  <c r="E370" i="19"/>
  <c r="C56" i="15"/>
  <c r="G366" i="19"/>
  <c r="P50" i="19"/>
  <c r="E370" i="20"/>
  <c r="E370" i="21"/>
  <c r="E370" i="22"/>
  <c r="E370" i="23"/>
  <c r="E370" i="24"/>
  <c r="E370" i="25"/>
  <c r="E370" i="26"/>
  <c r="E370" i="27"/>
  <c r="E370" i="28"/>
  <c r="E370" i="29"/>
  <c r="E370" i="3"/>
  <c r="A103" i="18"/>
  <c r="A99" i="18"/>
  <c r="A92" i="18"/>
  <c r="A88" i="18"/>
  <c r="A86" i="18"/>
  <c r="A84" i="18"/>
  <c r="A70" i="18"/>
  <c r="A62" i="18"/>
  <c r="A60" i="18"/>
  <c r="A58" i="18"/>
  <c r="A38" i="18"/>
  <c r="N103" i="18"/>
  <c r="N102" i="18"/>
  <c r="N99" i="18"/>
  <c r="N98" i="18"/>
  <c r="N96" i="18"/>
  <c r="N57" i="18"/>
  <c r="N55" i="18"/>
  <c r="N93" i="18"/>
  <c r="N92" i="18"/>
  <c r="N91" i="18"/>
  <c r="N88" i="18"/>
  <c r="N86" i="18"/>
  <c r="N84" i="18"/>
  <c r="N83" i="18"/>
  <c r="N81" i="18"/>
  <c r="N79" i="18"/>
  <c r="N77" i="18"/>
  <c r="N71" i="18"/>
  <c r="N70" i="18"/>
  <c r="N63" i="18"/>
  <c r="N62" i="18"/>
  <c r="N60" i="18"/>
  <c r="N58" i="18"/>
  <c r="N51" i="18"/>
  <c r="N48" i="18"/>
  <c r="N46" i="18"/>
  <c r="N38" i="18"/>
  <c r="N36" i="18"/>
  <c r="M103" i="18"/>
  <c r="M102" i="18"/>
  <c r="M99" i="18"/>
  <c r="M98" i="18"/>
  <c r="M96" i="18"/>
  <c r="M57" i="18"/>
  <c r="M55" i="18"/>
  <c r="M93" i="18"/>
  <c r="M92" i="18"/>
  <c r="M91" i="18"/>
  <c r="M88" i="18"/>
  <c r="M86" i="18"/>
  <c r="M84" i="18"/>
  <c r="M83" i="18"/>
  <c r="M81" i="18"/>
  <c r="M79" i="18"/>
  <c r="M77" i="18"/>
  <c r="M71" i="18"/>
  <c r="M70" i="18"/>
  <c r="M63" i="18"/>
  <c r="M62" i="18"/>
  <c r="M60" i="18"/>
  <c r="M58" i="18"/>
  <c r="M51" i="18"/>
  <c r="M48" i="18"/>
  <c r="M46" i="18"/>
  <c r="M38" i="18"/>
  <c r="M36" i="18"/>
  <c r="L103" i="18"/>
  <c r="L102" i="18"/>
  <c r="L99" i="18"/>
  <c r="L98" i="18"/>
  <c r="L96" i="18"/>
  <c r="L57" i="18"/>
  <c r="L55" i="18"/>
  <c r="L93" i="18"/>
  <c r="L92" i="18"/>
  <c r="L91" i="18"/>
  <c r="L90" i="18"/>
  <c r="L88" i="18"/>
  <c r="L86" i="18"/>
  <c r="L84" i="18"/>
  <c r="L83" i="18"/>
  <c r="L81" i="18"/>
  <c r="L79" i="18"/>
  <c r="L77" i="18"/>
  <c r="L71" i="18"/>
  <c r="L70" i="18"/>
  <c r="L63" i="18"/>
  <c r="L62" i="18"/>
  <c r="L60" i="18"/>
  <c r="L58" i="18"/>
  <c r="L51" i="18"/>
  <c r="L48" i="18"/>
  <c r="L46" i="18"/>
  <c r="L38" i="18"/>
  <c r="L36" i="18"/>
  <c r="K103" i="18"/>
  <c r="K102" i="18"/>
  <c r="K99" i="18"/>
  <c r="K98" i="18"/>
  <c r="K96" i="18"/>
  <c r="K57" i="18"/>
  <c r="K55" i="18"/>
  <c r="K93" i="18"/>
  <c r="K92" i="18"/>
  <c r="K91" i="18"/>
  <c r="K88" i="18"/>
  <c r="K86" i="18"/>
  <c r="K84" i="18"/>
  <c r="K83" i="18"/>
  <c r="K81" i="18"/>
  <c r="K79" i="18"/>
  <c r="K77" i="18"/>
  <c r="K71" i="18"/>
  <c r="K70" i="18"/>
  <c r="K63" i="18"/>
  <c r="K62" i="18"/>
  <c r="K60" i="18"/>
  <c r="K58" i="18"/>
  <c r="K51" i="18"/>
  <c r="K48" i="18"/>
  <c r="K46" i="18"/>
  <c r="K38" i="18"/>
  <c r="K36" i="18"/>
  <c r="J103" i="18"/>
  <c r="J102" i="18"/>
  <c r="J99" i="18"/>
  <c r="J98" i="18"/>
  <c r="J96" i="18"/>
  <c r="J57" i="18"/>
  <c r="J55" i="18"/>
  <c r="J93" i="18"/>
  <c r="J92" i="18"/>
  <c r="J91" i="18"/>
  <c r="J88" i="18"/>
  <c r="J86" i="18"/>
  <c r="J84" i="18"/>
  <c r="J83" i="18"/>
  <c r="J81" i="18"/>
  <c r="J79" i="18"/>
  <c r="J77" i="18"/>
  <c r="J71" i="18"/>
  <c r="J70" i="18"/>
  <c r="J63" i="18"/>
  <c r="J62" i="18"/>
  <c r="J60" i="18"/>
  <c r="J58" i="18"/>
  <c r="J51" i="18"/>
  <c r="J48" i="18"/>
  <c r="J46" i="18"/>
  <c r="J38" i="18"/>
  <c r="J36" i="18"/>
  <c r="I103" i="18"/>
  <c r="I102" i="18"/>
  <c r="I99" i="18"/>
  <c r="I98" i="18"/>
  <c r="I96" i="18"/>
  <c r="I57" i="18"/>
  <c r="I55" i="18"/>
  <c r="I93" i="18"/>
  <c r="I92" i="18"/>
  <c r="I91" i="18"/>
  <c r="I88" i="18"/>
  <c r="I86" i="18"/>
  <c r="I84" i="18"/>
  <c r="I83" i="18"/>
  <c r="I81" i="18"/>
  <c r="I79" i="18"/>
  <c r="I77" i="18"/>
  <c r="I71" i="18"/>
  <c r="I70" i="18"/>
  <c r="I63" i="18"/>
  <c r="I62" i="18"/>
  <c r="I60" i="18"/>
  <c r="I58" i="18"/>
  <c r="I51" i="18"/>
  <c r="I48" i="18"/>
  <c r="I46" i="18"/>
  <c r="I38" i="18"/>
  <c r="I36" i="18"/>
  <c r="H103" i="18"/>
  <c r="H102" i="18"/>
  <c r="H99" i="18"/>
  <c r="H98" i="18"/>
  <c r="H96" i="18"/>
  <c r="H57" i="18"/>
  <c r="H55" i="18"/>
  <c r="H93" i="18"/>
  <c r="H92" i="18"/>
  <c r="H91" i="18"/>
  <c r="H90" i="18"/>
  <c r="H88" i="18"/>
  <c r="H86" i="18"/>
  <c r="H84" i="18"/>
  <c r="H83" i="18"/>
  <c r="H81" i="18"/>
  <c r="H79" i="18"/>
  <c r="H77" i="18"/>
  <c r="H71" i="18"/>
  <c r="H70" i="18"/>
  <c r="H63" i="18"/>
  <c r="H62" i="18"/>
  <c r="H60" i="18"/>
  <c r="H58" i="18"/>
  <c r="H51" i="18"/>
  <c r="H48" i="18"/>
  <c r="H46" i="18"/>
  <c r="H38" i="18"/>
  <c r="H36" i="18"/>
  <c r="G103" i="18"/>
  <c r="G102" i="18"/>
  <c r="G99" i="18"/>
  <c r="G98" i="18"/>
  <c r="G96" i="18"/>
  <c r="G57" i="18"/>
  <c r="G55" i="18"/>
  <c r="G93" i="18"/>
  <c r="G92" i="18"/>
  <c r="G91" i="18"/>
  <c r="G88" i="18"/>
  <c r="G86" i="18"/>
  <c r="G84" i="18"/>
  <c r="G83" i="18"/>
  <c r="G81" i="18"/>
  <c r="G79" i="18"/>
  <c r="G77" i="18"/>
  <c r="G71" i="18"/>
  <c r="G70" i="18"/>
  <c r="G63" i="18"/>
  <c r="G62" i="18"/>
  <c r="G60" i="18"/>
  <c r="G58" i="18"/>
  <c r="G51" i="18"/>
  <c r="G48" i="18"/>
  <c r="G46" i="18"/>
  <c r="G38" i="18"/>
  <c r="G36" i="18"/>
  <c r="F103" i="18"/>
  <c r="F102" i="18"/>
  <c r="F99" i="18"/>
  <c r="F98" i="18"/>
  <c r="F96" i="18"/>
  <c r="F57" i="18"/>
  <c r="F55" i="18"/>
  <c r="F93" i="18"/>
  <c r="F92" i="18"/>
  <c r="F91" i="18"/>
  <c r="F88" i="18"/>
  <c r="F86" i="18"/>
  <c r="F84" i="18"/>
  <c r="F83" i="18"/>
  <c r="F81" i="18"/>
  <c r="F79" i="18"/>
  <c r="F77" i="18"/>
  <c r="F71" i="18"/>
  <c r="F70" i="18"/>
  <c r="F63" i="18"/>
  <c r="F62" i="18"/>
  <c r="F60" i="18"/>
  <c r="F58" i="18"/>
  <c r="F51" i="18"/>
  <c r="F48" i="18"/>
  <c r="F46" i="18"/>
  <c r="F38" i="18"/>
  <c r="F36" i="18"/>
  <c r="E103" i="18"/>
  <c r="E102" i="18"/>
  <c r="E99" i="18"/>
  <c r="E98" i="18"/>
  <c r="E96" i="18"/>
  <c r="E57" i="18"/>
  <c r="E55" i="18"/>
  <c r="E93" i="18"/>
  <c r="E92" i="18"/>
  <c r="E91" i="18"/>
  <c r="E88" i="18"/>
  <c r="E86" i="18"/>
  <c r="E84" i="18"/>
  <c r="E83" i="18"/>
  <c r="E81" i="18"/>
  <c r="E79" i="18"/>
  <c r="E77" i="18"/>
  <c r="E71" i="18"/>
  <c r="E70" i="18"/>
  <c r="E63" i="18"/>
  <c r="E62" i="18"/>
  <c r="E60" i="18"/>
  <c r="E58" i="18"/>
  <c r="E51" i="18"/>
  <c r="E48" i="18"/>
  <c r="E46" i="18"/>
  <c r="E38" i="18"/>
  <c r="E36" i="18"/>
  <c r="D103" i="18"/>
  <c r="D102" i="18"/>
  <c r="D99" i="18"/>
  <c r="D98" i="18"/>
  <c r="D96" i="18"/>
  <c r="D57" i="18"/>
  <c r="D55" i="18"/>
  <c r="D93" i="18"/>
  <c r="D92" i="18"/>
  <c r="D91" i="18"/>
  <c r="D88" i="18"/>
  <c r="D86" i="18"/>
  <c r="D84" i="18"/>
  <c r="D83" i="18"/>
  <c r="D81" i="18"/>
  <c r="D79" i="18"/>
  <c r="D77" i="18"/>
  <c r="D71" i="18"/>
  <c r="D70" i="18"/>
  <c r="D63" i="18"/>
  <c r="D62" i="18"/>
  <c r="D60" i="18"/>
  <c r="D58" i="18"/>
  <c r="D51" i="18"/>
  <c r="D48" i="18"/>
  <c r="D46" i="18"/>
  <c r="D38" i="18"/>
  <c r="D36" i="18"/>
  <c r="BG263" i="3"/>
  <c r="F305" i="29"/>
  <c r="A251" i="29"/>
  <c r="U32" i="10"/>
  <c r="U33" i="10"/>
  <c r="U34" i="10"/>
  <c r="B314" i="29"/>
  <c r="C314" i="29"/>
  <c r="H314" i="29"/>
  <c r="I314" i="29"/>
  <c r="C315" i="29"/>
  <c r="C321" i="29"/>
  <c r="C322" i="29"/>
  <c r="C323" i="29"/>
  <c r="C324" i="29"/>
  <c r="C325" i="29"/>
  <c r="C326" i="29"/>
  <c r="C327" i="29"/>
  <c r="C328" i="29"/>
  <c r="C329" i="29"/>
  <c r="AA359" i="29"/>
  <c r="AA362" i="29"/>
  <c r="AG368" i="29"/>
  <c r="B314" i="28"/>
  <c r="C314" i="28"/>
  <c r="H314" i="28"/>
  <c r="I314" i="28"/>
  <c r="C315" i="28"/>
  <c r="C321" i="28"/>
  <c r="C322" i="28"/>
  <c r="C323" i="28"/>
  <c r="C324" i="28"/>
  <c r="C325" i="28"/>
  <c r="C326" i="28"/>
  <c r="C327" i="28"/>
  <c r="C328" i="28"/>
  <c r="C329" i="28"/>
  <c r="AA359" i="28"/>
  <c r="AA362" i="28"/>
  <c r="AG368" i="28"/>
  <c r="B314" i="27"/>
  <c r="C314" i="27"/>
  <c r="H314" i="27"/>
  <c r="I314" i="27"/>
  <c r="C315" i="27"/>
  <c r="C321" i="27"/>
  <c r="C322" i="27"/>
  <c r="C323" i="27"/>
  <c r="C324" i="27"/>
  <c r="C325" i="27"/>
  <c r="C326" i="27"/>
  <c r="C327" i="27"/>
  <c r="C328" i="27"/>
  <c r="C329" i="27"/>
  <c r="AA359" i="27"/>
  <c r="AA362" i="27"/>
  <c r="AG368" i="27"/>
  <c r="B314" i="26"/>
  <c r="C314" i="26"/>
  <c r="H314" i="26"/>
  <c r="I314" i="26"/>
  <c r="C315" i="26"/>
  <c r="C321" i="26"/>
  <c r="C322" i="26"/>
  <c r="C323" i="26"/>
  <c r="C324" i="26"/>
  <c r="C325" i="26"/>
  <c r="C326" i="26"/>
  <c r="C327" i="26"/>
  <c r="C328" i="26"/>
  <c r="C329" i="26"/>
  <c r="AA359" i="26"/>
  <c r="AA362" i="26"/>
  <c r="AG368" i="26"/>
  <c r="A210" i="25"/>
  <c r="A251" i="25"/>
  <c r="B314" i="25"/>
  <c r="C314" i="25"/>
  <c r="H314" i="25"/>
  <c r="I314" i="25"/>
  <c r="C315" i="25"/>
  <c r="C321" i="25"/>
  <c r="C322" i="25"/>
  <c r="C323" i="25"/>
  <c r="C324" i="25"/>
  <c r="C325" i="25"/>
  <c r="C326" i="25"/>
  <c r="C327" i="25"/>
  <c r="C328" i="25"/>
  <c r="C329" i="25"/>
  <c r="AA359" i="25"/>
  <c r="AA362" i="25"/>
  <c r="AG368" i="25"/>
  <c r="B314" i="24"/>
  <c r="C314" i="24"/>
  <c r="H314" i="24"/>
  <c r="I314" i="24"/>
  <c r="C315" i="24"/>
  <c r="C321" i="24"/>
  <c r="C322" i="24"/>
  <c r="C323" i="24"/>
  <c r="C324" i="24"/>
  <c r="C325" i="24"/>
  <c r="C326" i="24"/>
  <c r="C327" i="24"/>
  <c r="C328" i="24"/>
  <c r="C329" i="24"/>
  <c r="AA359" i="24"/>
  <c r="AA362" i="24"/>
  <c r="AG368" i="24"/>
  <c r="A251" i="23"/>
  <c r="B314" i="23"/>
  <c r="C314" i="23"/>
  <c r="H314" i="23"/>
  <c r="I314" i="23"/>
  <c r="C315" i="23"/>
  <c r="C321" i="23"/>
  <c r="C322" i="23"/>
  <c r="C323" i="23"/>
  <c r="C324" i="23"/>
  <c r="C325" i="23"/>
  <c r="C326" i="23"/>
  <c r="C327" i="23"/>
  <c r="C328" i="23"/>
  <c r="C329" i="23"/>
  <c r="AA359" i="23"/>
  <c r="AA362" i="23"/>
  <c r="AG368" i="23"/>
  <c r="B314" i="22"/>
  <c r="C314" i="22"/>
  <c r="H314" i="22"/>
  <c r="I314" i="22"/>
  <c r="C315" i="22"/>
  <c r="C321" i="22"/>
  <c r="C322" i="22"/>
  <c r="C323" i="22"/>
  <c r="C324" i="22"/>
  <c r="C325" i="22"/>
  <c r="C326" i="22"/>
  <c r="C327" i="22"/>
  <c r="C328" i="22"/>
  <c r="C329" i="22"/>
  <c r="AA359" i="22"/>
  <c r="AA362" i="22"/>
  <c r="AG368" i="22"/>
  <c r="B314" i="21"/>
  <c r="C314" i="21"/>
  <c r="H314" i="21"/>
  <c r="I314" i="21"/>
  <c r="C315" i="21"/>
  <c r="C321" i="21"/>
  <c r="C322" i="21"/>
  <c r="C323" i="21"/>
  <c r="C324" i="21"/>
  <c r="C325" i="21"/>
  <c r="C326" i="21"/>
  <c r="C327" i="21"/>
  <c r="C328" i="21"/>
  <c r="C329" i="21"/>
  <c r="AA359" i="21"/>
  <c r="AA362" i="21"/>
  <c r="AG368" i="21"/>
  <c r="E251" i="20"/>
  <c r="B314" i="20"/>
  <c r="C314" i="20"/>
  <c r="H314" i="20"/>
  <c r="I314" i="20"/>
  <c r="C315" i="20"/>
  <c r="C321" i="20"/>
  <c r="C322" i="20"/>
  <c r="C323" i="20"/>
  <c r="C324" i="20"/>
  <c r="C325" i="20"/>
  <c r="C326" i="20"/>
  <c r="C327" i="20"/>
  <c r="C328" i="20"/>
  <c r="C329" i="20"/>
  <c r="AA359" i="20"/>
  <c r="AA362" i="20"/>
  <c r="AG368" i="20"/>
  <c r="P3" i="19"/>
  <c r="O153" i="19"/>
  <c r="O205" i="19"/>
  <c r="A205" i="19" s="1"/>
  <c r="E206" i="19"/>
  <c r="O207" i="19"/>
  <c r="A207" i="19" s="1"/>
  <c r="O208" i="19"/>
  <c r="A208" i="19" s="1"/>
  <c r="O210" i="19"/>
  <c r="A210" i="19" s="1"/>
  <c r="E249" i="19"/>
  <c r="A250" i="19"/>
  <c r="A251" i="19"/>
  <c r="A253" i="19"/>
  <c r="B296" i="19"/>
  <c r="B314" i="19"/>
  <c r="C314" i="19"/>
  <c r="H314" i="19"/>
  <c r="I314" i="19"/>
  <c r="C315" i="19"/>
  <c r="C321" i="19"/>
  <c r="C322" i="19"/>
  <c r="C323" i="19"/>
  <c r="C324" i="19"/>
  <c r="C325" i="19"/>
  <c r="C326" i="19"/>
  <c r="C327" i="19"/>
  <c r="C328" i="19"/>
  <c r="C329" i="19"/>
  <c r="AA359" i="19"/>
  <c r="AA362" i="19"/>
  <c r="AG368" i="19"/>
  <c r="AB875" i="10"/>
  <c r="AB906" i="10"/>
  <c r="AB836" i="10"/>
  <c r="G1" i="4"/>
  <c r="W33" i="10"/>
  <c r="W34" i="10"/>
  <c r="W35" i="10"/>
  <c r="W36" i="10"/>
  <c r="W37" i="10"/>
  <c r="W38" i="10"/>
  <c r="W39" i="10"/>
  <c r="W40" i="10"/>
  <c r="W41" i="10"/>
  <c r="A35" i="10"/>
  <c r="AC350" i="10"/>
  <c r="AC343" i="10"/>
  <c r="AC341" i="10"/>
  <c r="AC340" i="10"/>
  <c r="AC291" i="10"/>
  <c r="E14" i="8"/>
  <c r="E13" i="8"/>
  <c r="E12" i="8"/>
  <c r="C103" i="18"/>
  <c r="C102" i="18"/>
  <c r="C99" i="18"/>
  <c r="C98" i="18"/>
  <c r="C96" i="18"/>
  <c r="C57" i="18"/>
  <c r="C55" i="18"/>
  <c r="C93" i="18"/>
  <c r="C92" i="18"/>
  <c r="C91" i="18"/>
  <c r="C90" i="18"/>
  <c r="C88" i="18"/>
  <c r="C86" i="18"/>
  <c r="C84" i="18"/>
  <c r="C83" i="18"/>
  <c r="C81" i="18"/>
  <c r="C79" i="18"/>
  <c r="C77" i="18"/>
  <c r="C71" i="18"/>
  <c r="C70" i="18"/>
  <c r="C63" i="18"/>
  <c r="C62" i="18"/>
  <c r="C60" i="18"/>
  <c r="C58" i="18"/>
  <c r="C51" i="18"/>
  <c r="C48" i="18"/>
  <c r="C46" i="18"/>
  <c r="C38" i="18"/>
  <c r="C36" i="18"/>
  <c r="C30" i="15"/>
  <c r="C45" i="15"/>
  <c r="C58" i="15"/>
  <c r="D95" i="15"/>
  <c r="D96" i="15"/>
  <c r="C118" i="15"/>
  <c r="C120" i="15"/>
  <c r="I4" i="18"/>
  <c r="I5" i="18" s="1"/>
  <c r="M48" i="10"/>
  <c r="M50" i="10"/>
  <c r="M51" i="10"/>
  <c r="AP263" i="3"/>
  <c r="U35" i="10"/>
  <c r="U36" i="10"/>
  <c r="U37" i="10"/>
  <c r="U38" i="10"/>
  <c r="U39" i="10"/>
  <c r="U40" i="10"/>
  <c r="U41" i="10"/>
  <c r="AG368" i="3"/>
  <c r="AA362" i="3"/>
  <c r="AA359" i="3"/>
  <c r="I314" i="3"/>
  <c r="H314" i="3"/>
  <c r="C329" i="3"/>
  <c r="C328" i="3"/>
  <c r="C327" i="3"/>
  <c r="C326" i="3"/>
  <c r="C325" i="3"/>
  <c r="C324" i="3"/>
  <c r="C323" i="3"/>
  <c r="C322" i="3"/>
  <c r="C321" i="3"/>
  <c r="C315" i="3"/>
  <c r="C314" i="3"/>
  <c r="B314" i="3"/>
  <c r="A208" i="3"/>
  <c r="H49" i="8"/>
  <c r="H48" i="8"/>
  <c r="J49" i="8"/>
  <c r="J48" i="8"/>
  <c r="J47" i="8"/>
  <c r="J46" i="8"/>
  <c r="I49" i="8"/>
  <c r="I48" i="8"/>
  <c r="I47" i="8"/>
  <c r="I46" i="8"/>
  <c r="H47" i="8"/>
  <c r="H46" i="8"/>
  <c r="C86" i="10"/>
  <c r="C87" i="10"/>
  <c r="C88" i="10"/>
  <c r="C89" i="10"/>
  <c r="C90" i="10"/>
  <c r="C91" i="10"/>
  <c r="G86" i="10"/>
  <c r="G87" i="10"/>
  <c r="G88" i="10"/>
  <c r="G89" i="10"/>
  <c r="G90" i="10"/>
  <c r="G91" i="10"/>
  <c r="G92" i="10"/>
  <c r="G93" i="10"/>
  <c r="G94" i="10"/>
  <c r="G95" i="10"/>
  <c r="G96" i="10"/>
  <c r="G97" i="10"/>
  <c r="G98" i="10"/>
  <c r="G99" i="10"/>
  <c r="G100" i="10"/>
  <c r="A41" i="10"/>
  <c r="A40" i="10"/>
  <c r="A39" i="10"/>
  <c r="A38" i="10"/>
  <c r="A37" i="10"/>
  <c r="A36" i="10"/>
  <c r="C92" i="10"/>
  <c r="C93" i="10"/>
  <c r="C94" i="10"/>
  <c r="C95" i="10"/>
  <c r="C96" i="10"/>
  <c r="C105" i="10"/>
  <c r="C104" i="10"/>
  <c r="C103" i="10"/>
  <c r="C102" i="10"/>
  <c r="C101" i="10"/>
  <c r="C100" i="10"/>
  <c r="C99" i="10"/>
  <c r="C98" i="10"/>
  <c r="C97" i="10"/>
  <c r="C115" i="10"/>
  <c r="C114" i="10"/>
  <c r="C113" i="10"/>
  <c r="C112" i="10"/>
  <c r="C111" i="10"/>
  <c r="C110" i="10"/>
  <c r="C109" i="10"/>
  <c r="C108" i="10"/>
  <c r="C107" i="10"/>
  <c r="C106" i="10"/>
  <c r="O8" i="9"/>
  <c r="P8" i="9"/>
  <c r="Q8" i="9"/>
  <c r="R8" i="9"/>
  <c r="S8" i="9"/>
  <c r="T8" i="9"/>
  <c r="U8" i="9"/>
  <c r="V8" i="9"/>
  <c r="W8" i="9"/>
  <c r="X8" i="9"/>
  <c r="Y8" i="9"/>
  <c r="Z8" i="9"/>
  <c r="O41" i="10"/>
  <c r="O40" i="10"/>
  <c r="O39" i="10"/>
  <c r="O38" i="10"/>
  <c r="O37" i="10"/>
  <c r="O36" i="10"/>
  <c r="O35" i="10"/>
  <c r="O34" i="10"/>
  <c r="O33" i="10"/>
  <c r="O32" i="10"/>
  <c r="A360" i="27"/>
  <c r="A360" i="23"/>
  <c r="C107" i="15"/>
  <c r="E371" i="27"/>
  <c r="A21" i="28"/>
  <c r="A3" i="19"/>
  <c r="A147" i="24"/>
  <c r="D94" i="15"/>
  <c r="E259" i="21"/>
  <c r="A3" i="21"/>
  <c r="D97" i="15"/>
  <c r="C51" i="15"/>
  <c r="E259" i="20"/>
  <c r="A3" i="28"/>
  <c r="A21" i="20"/>
  <c r="A3" i="3"/>
  <c r="A3" i="20"/>
  <c r="A3" i="24"/>
  <c r="G366" i="21"/>
  <c r="E251" i="29"/>
  <c r="E251" i="25"/>
  <c r="C57" i="15"/>
  <c r="C53" i="15"/>
  <c r="A3" i="4"/>
  <c r="A3" i="23"/>
  <c r="A3" i="25"/>
  <c r="E259" i="26"/>
  <c r="E259" i="28"/>
  <c r="E371" i="29"/>
  <c r="E371" i="23"/>
  <c r="E371" i="22"/>
  <c r="G365" i="21"/>
  <c r="G365" i="20"/>
  <c r="E371" i="20"/>
  <c r="G365" i="19"/>
  <c r="E371" i="19"/>
  <c r="A310" i="22"/>
  <c r="C119" i="15"/>
  <c r="E259" i="3"/>
  <c r="O321" i="19"/>
  <c r="E259" i="19"/>
  <c r="E259" i="22"/>
  <c r="A3" i="22"/>
  <c r="E259" i="23"/>
  <c r="E259" i="24"/>
  <c r="E259" i="25"/>
  <c r="A3" i="26"/>
  <c r="E259" i="27"/>
  <c r="H21" i="23"/>
  <c r="A21" i="24"/>
  <c r="A147" i="28"/>
  <c r="A147" i="20"/>
  <c r="G366" i="26"/>
  <c r="A310" i="3"/>
  <c r="C44" i="15"/>
  <c r="B7" i="18"/>
  <c r="C55" i="15"/>
  <c r="A3" i="27"/>
  <c r="E259" i="29"/>
  <c r="E371" i="3"/>
  <c r="E371" i="28"/>
  <c r="E371" i="26"/>
  <c r="E371" i="25"/>
  <c r="E371" i="24"/>
  <c r="E371" i="21"/>
  <c r="G67" i="4"/>
  <c r="A452" i="22" s="1"/>
  <c r="A21" i="26"/>
  <c r="A21" i="22"/>
  <c r="A147" i="3"/>
  <c r="A147" i="26"/>
  <c r="A147" i="22"/>
  <c r="G366" i="28"/>
  <c r="G364" i="27"/>
  <c r="G366" i="24"/>
  <c r="G364" i="23"/>
  <c r="G364" i="3"/>
  <c r="G366" i="29"/>
  <c r="G364" i="28"/>
  <c r="G364" i="26"/>
  <c r="G364" i="24"/>
  <c r="E250" i="26"/>
  <c r="A360" i="3"/>
  <c r="A360" i="29"/>
  <c r="A51" i="29" s="1"/>
  <c r="A360" i="28"/>
  <c r="A359" i="27"/>
  <c r="A50" i="27" s="1"/>
  <c r="A360" i="26"/>
  <c r="A359" i="25"/>
  <c r="A50" i="25" s="1"/>
  <c r="A360" i="24"/>
  <c r="A51" i="24" s="1"/>
  <c r="A359" i="23"/>
  <c r="A50" i="23" s="1"/>
  <c r="A360" i="22"/>
  <c r="A360" i="20"/>
  <c r="A310" i="28"/>
  <c r="A310" i="24"/>
  <c r="A310" i="20"/>
  <c r="B6" i="18"/>
  <c r="G432" i="19"/>
  <c r="G437" i="19"/>
  <c r="A359" i="19"/>
  <c r="A50" i="19" s="1"/>
  <c r="A359" i="20"/>
  <c r="A50" i="20" s="1"/>
  <c r="A359" i="22"/>
  <c r="A50" i="22" s="1"/>
  <c r="A359" i="24"/>
  <c r="A50" i="24" s="1"/>
  <c r="A359" i="26"/>
  <c r="A50" i="26" s="1"/>
  <c r="A359" i="28"/>
  <c r="A50" i="28" s="1"/>
  <c r="A359" i="3"/>
  <c r="A50" i="3" s="1"/>
  <c r="E250" i="20"/>
  <c r="E206" i="24"/>
  <c r="G366" i="3"/>
  <c r="G366" i="27"/>
  <c r="G366" i="25"/>
  <c r="G366" i="23"/>
  <c r="G366" i="22"/>
  <c r="G366" i="20"/>
  <c r="A359" i="29"/>
  <c r="A50" i="29" s="1"/>
  <c r="A21" i="3"/>
  <c r="A310" i="29"/>
  <c r="A310" i="27"/>
  <c r="A310" i="25"/>
  <c r="A310" i="23"/>
  <c r="A310" i="21"/>
  <c r="A310" i="19"/>
  <c r="A122" i="4"/>
  <c r="H147" i="28"/>
  <c r="A208" i="23"/>
  <c r="E208" i="23"/>
  <c r="E210" i="25"/>
  <c r="A205" i="3"/>
  <c r="G364" i="19"/>
  <c r="G364" i="20"/>
  <c r="G364" i="21"/>
  <c r="O27" i="18"/>
  <c r="A310" i="26"/>
  <c r="A147" i="19"/>
  <c r="A147" i="21"/>
  <c r="A147" i="23"/>
  <c r="A147" i="25"/>
  <c r="A147" i="27"/>
  <c r="A147" i="29"/>
  <c r="A21" i="19"/>
  <c r="A21" i="21"/>
  <c r="A21" i="23"/>
  <c r="A21" i="25"/>
  <c r="A21" i="27"/>
  <c r="A21" i="29"/>
  <c r="G365" i="22"/>
  <c r="G365" i="23"/>
  <c r="G365" i="24"/>
  <c r="G365" i="25"/>
  <c r="G365" i="26"/>
  <c r="G365" i="27"/>
  <c r="G365" i="28"/>
  <c r="G365" i="29"/>
  <c r="G365" i="3"/>
  <c r="A3" i="29"/>
  <c r="G411" i="19"/>
  <c r="C54" i="15"/>
  <c r="C50" i="15"/>
  <c r="C38" i="15"/>
  <c r="L101" i="18"/>
  <c r="G364" i="29"/>
  <c r="G364" i="25"/>
  <c r="A360" i="25"/>
  <c r="A360" i="21"/>
  <c r="A359" i="21"/>
  <c r="A50" i="21" s="1"/>
  <c r="A330" i="20"/>
  <c r="A330" i="19"/>
  <c r="A330" i="22"/>
  <c r="A330" i="26"/>
  <c r="A330" i="21"/>
  <c r="A330" i="23"/>
  <c r="A330" i="3"/>
  <c r="A330" i="24"/>
  <c r="A330" i="27"/>
  <c r="A330" i="25"/>
  <c r="A330" i="29"/>
  <c r="A330" i="28"/>
  <c r="O240" i="19"/>
  <c r="G240" i="19" s="1"/>
  <c r="O239" i="19"/>
  <c r="E239" i="19" s="1"/>
  <c r="O241" i="19"/>
  <c r="G241" i="19" s="1"/>
  <c r="O235" i="19"/>
  <c r="A235" i="19" s="1"/>
  <c r="C110" i="15"/>
  <c r="D101" i="18"/>
  <c r="A252" i="19"/>
  <c r="E206" i="3"/>
  <c r="H390" i="20"/>
  <c r="H21" i="29"/>
  <c r="H377" i="20"/>
  <c r="A235" i="22"/>
  <c r="O324" i="3"/>
  <c r="O324" i="19"/>
  <c r="C97" i="15"/>
  <c r="O324" i="28"/>
  <c r="G412" i="20"/>
  <c r="G412" i="28"/>
  <c r="G412" i="23"/>
  <c r="O324" i="25"/>
  <c r="G412" i="27"/>
  <c r="A253" i="21"/>
  <c r="G412" i="19"/>
  <c r="O324" i="26"/>
  <c r="O324" i="21"/>
  <c r="G412" i="29"/>
  <c r="H310" i="20"/>
  <c r="C89" i="15"/>
  <c r="C86" i="15"/>
  <c r="O324" i="22"/>
  <c r="G409" i="26"/>
  <c r="P264" i="23"/>
  <c r="BC264" i="23" s="1"/>
  <c r="H147" i="23"/>
  <c r="I200" i="23"/>
  <c r="H310" i="29"/>
  <c r="H260" i="23"/>
  <c r="N371" i="28"/>
  <c r="H310" i="23"/>
  <c r="H410" i="27"/>
  <c r="G412" i="26"/>
  <c r="G412" i="25"/>
  <c r="G360" i="22"/>
  <c r="G51" i="22" s="1"/>
  <c r="A452" i="28"/>
  <c r="G407" i="19"/>
  <c r="H260" i="29"/>
  <c r="A452" i="23"/>
  <c r="H21" i="20"/>
  <c r="I200" i="20"/>
  <c r="I200" i="29"/>
  <c r="O323" i="19"/>
  <c r="D86" i="15"/>
  <c r="N371" i="25"/>
  <c r="G407" i="28"/>
  <c r="H310" i="28"/>
  <c r="G360" i="29"/>
  <c r="G51" i="29" s="1"/>
  <c r="G409" i="19"/>
  <c r="H147" i="20"/>
  <c r="N371" i="23"/>
  <c r="G409" i="29"/>
  <c r="H377" i="19"/>
  <c r="D62" i="31"/>
  <c r="O323" i="29"/>
  <c r="O209" i="27"/>
  <c r="E209" i="27" s="1"/>
  <c r="E206" i="27"/>
  <c r="I90" i="18"/>
  <c r="D58" i="31"/>
  <c r="C83" i="15"/>
  <c r="D51" i="31"/>
  <c r="H390" i="23"/>
  <c r="H390" i="25"/>
  <c r="H390" i="27"/>
  <c r="H390" i="28"/>
  <c r="H390" i="29"/>
  <c r="O316" i="20"/>
  <c r="O316" i="23"/>
  <c r="O316" i="27"/>
  <c r="O316" i="29"/>
  <c r="N371" i="27"/>
  <c r="N371" i="22"/>
  <c r="N371" i="21"/>
  <c r="N371" i="20"/>
  <c r="N371" i="19"/>
  <c r="H377" i="21"/>
  <c r="H377" i="3"/>
  <c r="H390" i="3"/>
  <c r="H390" i="22"/>
  <c r="H390" i="24"/>
  <c r="H377" i="25"/>
  <c r="H377" i="28"/>
  <c r="H390" i="19"/>
  <c r="H390" i="21"/>
  <c r="H377" i="23"/>
  <c r="H390" i="26"/>
  <c r="H377" i="27"/>
  <c r="O316" i="21"/>
  <c r="O316" i="22"/>
  <c r="O316" i="24"/>
  <c r="O316" i="25"/>
  <c r="O316" i="26"/>
  <c r="O316" i="28"/>
  <c r="N371" i="26"/>
  <c r="N371" i="24"/>
  <c r="E71" i="31"/>
  <c r="G409" i="3"/>
  <c r="G409" i="20"/>
  <c r="G409" i="28"/>
  <c r="G409" i="21"/>
  <c r="G409" i="23"/>
  <c r="G409" i="24"/>
  <c r="G409" i="25"/>
  <c r="G409" i="27"/>
  <c r="E61" i="31"/>
  <c r="G407" i="21"/>
  <c r="G407" i="22"/>
  <c r="G407" i="24"/>
  <c r="G407" i="20"/>
  <c r="G407" i="3"/>
  <c r="G407" i="26"/>
  <c r="G407" i="29"/>
  <c r="H260" i="20"/>
  <c r="C76" i="15"/>
  <c r="N371" i="3"/>
  <c r="O316" i="19"/>
  <c r="A205" i="26"/>
  <c r="N371" i="29"/>
  <c r="H377" i="29"/>
  <c r="G407" i="27"/>
  <c r="H377" i="26"/>
  <c r="G407" i="23"/>
  <c r="E210" i="24"/>
  <c r="A210" i="24"/>
  <c r="O323" i="24"/>
  <c r="H377" i="22"/>
  <c r="D87" i="15"/>
  <c r="O324" i="29"/>
  <c r="O324" i="27"/>
  <c r="O324" i="23"/>
  <c r="O324" i="20"/>
  <c r="H410" i="29"/>
  <c r="H410" i="25"/>
  <c r="G412" i="24"/>
  <c r="G412" i="22"/>
  <c r="G412" i="21"/>
  <c r="A452" i="25"/>
  <c r="A452" i="26"/>
  <c r="G432" i="20"/>
  <c r="G432" i="21"/>
  <c r="H385" i="19"/>
  <c r="E251" i="3"/>
  <c r="G437" i="21"/>
  <c r="G437" i="20"/>
  <c r="A452" i="21"/>
  <c r="A452" i="29"/>
  <c r="A452" i="27"/>
  <c r="A452" i="20"/>
  <c r="A452" i="3"/>
  <c r="A452" i="19"/>
  <c r="A452" i="24"/>
  <c r="E253" i="24"/>
  <c r="E253" i="23"/>
  <c r="A253" i="3"/>
  <c r="E206" i="23"/>
  <c r="C82" i="15"/>
  <c r="O209" i="25"/>
  <c r="E209" i="25" s="1"/>
  <c r="E206" i="25"/>
  <c r="J361" i="29"/>
  <c r="J362" i="29" s="1"/>
  <c r="P51" i="29"/>
  <c r="H385" i="21"/>
  <c r="G432" i="22"/>
  <c r="G437" i="22"/>
  <c r="H385" i="22"/>
  <c r="G432" i="23"/>
  <c r="G437" i="23"/>
  <c r="G432" i="24"/>
  <c r="G437" i="24"/>
  <c r="H385" i="23"/>
  <c r="O229" i="26"/>
  <c r="A229" i="26" s="1"/>
  <c r="O229" i="27"/>
  <c r="E229" i="27" s="1"/>
  <c r="O229" i="29"/>
  <c r="E229" i="29" s="1"/>
  <c r="O229" i="24"/>
  <c r="E229" i="24" s="1"/>
  <c r="O229" i="22"/>
  <c r="A229" i="22" s="1"/>
  <c r="O229" i="19"/>
  <c r="A229" i="19" s="1"/>
  <c r="O229" i="3"/>
  <c r="A229" i="3" s="1"/>
  <c r="O229" i="25"/>
  <c r="E229" i="25" s="1"/>
  <c r="O229" i="28"/>
  <c r="E229" i="28" s="1"/>
  <c r="O229" i="20"/>
  <c r="E229" i="20" s="1"/>
  <c r="O229" i="21"/>
  <c r="A229" i="21" s="1"/>
  <c r="H385" i="24"/>
  <c r="G432" i="25"/>
  <c r="G437" i="25"/>
  <c r="H385" i="25"/>
  <c r="G432" i="26"/>
  <c r="G437" i="26"/>
  <c r="O231" i="27"/>
  <c r="G231" i="27" s="1"/>
  <c r="A230" i="27"/>
  <c r="O231" i="28"/>
  <c r="G231" i="28" s="1"/>
  <c r="E230" i="28"/>
  <c r="O231" i="24"/>
  <c r="E230" i="24"/>
  <c r="O231" i="19"/>
  <c r="O231" i="29"/>
  <c r="O231" i="25"/>
  <c r="G231" i="25" s="1"/>
  <c r="A230" i="25"/>
  <c r="O231" i="21"/>
  <c r="E230" i="21"/>
  <c r="O231" i="3"/>
  <c r="G231" i="3" s="1"/>
  <c r="A230" i="3"/>
  <c r="O231" i="26"/>
  <c r="O231" i="22"/>
  <c r="A230" i="22"/>
  <c r="A230" i="20"/>
  <c r="O231" i="20"/>
  <c r="G432" i="27"/>
  <c r="G437" i="27"/>
  <c r="H385" i="26"/>
  <c r="H385" i="27"/>
  <c r="G432" i="28"/>
  <c r="G437" i="28"/>
  <c r="G432" i="29"/>
  <c r="G437" i="29"/>
  <c r="H385" i="28"/>
  <c r="H385" i="29"/>
  <c r="C6" i="8" l="1"/>
  <c r="DJ260" i="3" s="1"/>
  <c r="C5" i="8"/>
  <c r="C4" i="8"/>
  <c r="C14" i="8"/>
  <c r="F14" i="8" s="1"/>
  <c r="C13" i="8"/>
  <c r="F13" i="8" s="1"/>
  <c r="C12" i="8"/>
  <c r="F12" i="8" s="1"/>
  <c r="C11" i="8"/>
  <c r="F11" i="8" s="1"/>
  <c r="K11" i="8"/>
  <c r="K12" i="8"/>
  <c r="K14" i="8"/>
  <c r="K10" i="8"/>
  <c r="A239" i="25"/>
  <c r="P51" i="24"/>
  <c r="A207" i="26"/>
  <c r="E239" i="20"/>
  <c r="A51" i="20"/>
  <c r="P51" i="23"/>
  <c r="A51" i="22"/>
  <c r="E205" i="29"/>
  <c r="J361" i="20"/>
  <c r="J362" i="20" s="1"/>
  <c r="A51" i="25"/>
  <c r="A51" i="23"/>
  <c r="C90" i="15"/>
  <c r="A240" i="27"/>
  <c r="A231" i="24"/>
  <c r="G231" i="24"/>
  <c r="E241" i="22"/>
  <c r="G241" i="22"/>
  <c r="E231" i="20"/>
  <c r="G231" i="20"/>
  <c r="A231" i="21"/>
  <c r="G231" i="21"/>
  <c r="E240" i="3"/>
  <c r="G240" i="3"/>
  <c r="E241" i="27"/>
  <c r="G241" i="27"/>
  <c r="E241" i="24"/>
  <c r="G241" i="24"/>
  <c r="A240" i="28"/>
  <c r="G240" i="28"/>
  <c r="E231" i="22"/>
  <c r="G231" i="22"/>
  <c r="E231" i="29"/>
  <c r="G231" i="29"/>
  <c r="A241" i="28"/>
  <c r="G241" i="28"/>
  <c r="A240" i="25"/>
  <c r="G240" i="25"/>
  <c r="A231" i="26"/>
  <c r="G231" i="26"/>
  <c r="A231" i="19"/>
  <c r="G231" i="19"/>
  <c r="E231" i="19"/>
  <c r="A241" i="25"/>
  <c r="G241" i="25"/>
  <c r="E240" i="21"/>
  <c r="G240" i="21"/>
  <c r="E241" i="20"/>
  <c r="G241" i="20"/>
  <c r="E241" i="21"/>
  <c r="G241" i="21"/>
  <c r="H310" i="22"/>
  <c r="M445" i="19"/>
  <c r="M434" i="23"/>
  <c r="M434" i="22"/>
  <c r="A235" i="29"/>
  <c r="H147" i="22"/>
  <c r="H21" i="22"/>
  <c r="A210" i="23"/>
  <c r="I200" i="22"/>
  <c r="H260" i="22"/>
  <c r="E241" i="3"/>
  <c r="A207" i="25"/>
  <c r="E207" i="19"/>
  <c r="E249" i="21"/>
  <c r="E239" i="27"/>
  <c r="E207" i="3"/>
  <c r="E239" i="26"/>
  <c r="M445" i="29"/>
  <c r="N101" i="18"/>
  <c r="O101" i="18" s="1"/>
  <c r="E208" i="21"/>
  <c r="E205" i="24"/>
  <c r="E207" i="22"/>
  <c r="E250" i="28"/>
  <c r="E208" i="28"/>
  <c r="M445" i="24"/>
  <c r="E210" i="19"/>
  <c r="A251" i="28"/>
  <c r="E239" i="3"/>
  <c r="E205" i="23"/>
  <c r="E235" i="26"/>
  <c r="E253" i="26"/>
  <c r="A251" i="27"/>
  <c r="E208" i="27"/>
  <c r="E205" i="19"/>
  <c r="E251" i="21"/>
  <c r="E210" i="20"/>
  <c r="B296" i="28"/>
  <c r="J361" i="19"/>
  <c r="J362" i="19" s="1"/>
  <c r="J363" i="19" s="1"/>
  <c r="J364" i="19" s="1"/>
  <c r="J365" i="19" s="1"/>
  <c r="J366" i="19" s="1"/>
  <c r="J367" i="19" s="1"/>
  <c r="J368" i="19" s="1"/>
  <c r="J369" i="19" s="1"/>
  <c r="J370" i="19" s="1"/>
  <c r="J371" i="19" s="1"/>
  <c r="A235" i="24"/>
  <c r="E249" i="25"/>
  <c r="B296" i="26"/>
  <c r="A207" i="27"/>
  <c r="E251" i="26"/>
  <c r="A205" i="21"/>
  <c r="B296" i="24"/>
  <c r="E250" i="19"/>
  <c r="E207" i="20"/>
  <c r="A51" i="19"/>
  <c r="B296" i="25"/>
  <c r="P52" i="20"/>
  <c r="E207" i="23"/>
  <c r="E207" i="28"/>
  <c r="E205" i="25"/>
  <c r="M445" i="25"/>
  <c r="E253" i="20"/>
  <c r="E235" i="25"/>
  <c r="B296" i="3"/>
  <c r="E205" i="20"/>
  <c r="E239" i="28"/>
  <c r="M434" i="28"/>
  <c r="B296" i="29"/>
  <c r="A208" i="20"/>
  <c r="A250" i="25"/>
  <c r="E208" i="24"/>
  <c r="G51" i="24"/>
  <c r="E240" i="24"/>
  <c r="A208" i="22"/>
  <c r="E205" i="28"/>
  <c r="B296" i="27"/>
  <c r="E210" i="3"/>
  <c r="A253" i="28"/>
  <c r="E249" i="24"/>
  <c r="E235" i="28"/>
  <c r="H21" i="27"/>
  <c r="E206" i="29"/>
  <c r="E207" i="24"/>
  <c r="A235" i="20"/>
  <c r="H310" i="3"/>
  <c r="I200" i="19"/>
  <c r="H260" i="19"/>
  <c r="H147" i="19"/>
  <c r="H310" i="19"/>
  <c r="I200" i="27"/>
  <c r="H260" i="27"/>
  <c r="H147" i="27"/>
  <c r="E229" i="19"/>
  <c r="E229" i="22"/>
  <c r="A229" i="28"/>
  <c r="A209" i="27"/>
  <c r="H147" i="25"/>
  <c r="H260" i="26"/>
  <c r="H310" i="26"/>
  <c r="H147" i="26"/>
  <c r="H21" i="26"/>
  <c r="I200" i="26"/>
  <c r="E240" i="27"/>
  <c r="F94" i="4"/>
  <c r="D87" i="31"/>
  <c r="A231" i="3"/>
  <c r="M445" i="27"/>
  <c r="M445" i="3"/>
  <c r="M445" i="21"/>
  <c r="P53" i="20"/>
  <c r="A53" i="20"/>
  <c r="J363" i="20"/>
  <c r="J364" i="20" s="1"/>
  <c r="J365" i="20" s="1"/>
  <c r="J366" i="20" s="1"/>
  <c r="J367" i="20" s="1"/>
  <c r="J368" i="20" s="1"/>
  <c r="J369" i="20" s="1"/>
  <c r="J370" i="20" s="1"/>
  <c r="J371" i="20" s="1"/>
  <c r="E240" i="29"/>
  <c r="M445" i="22"/>
  <c r="P51" i="26"/>
  <c r="M434" i="19"/>
  <c r="A240" i="29"/>
  <c r="E235" i="27"/>
  <c r="M445" i="26"/>
  <c r="H310" i="27"/>
  <c r="A51" i="26"/>
  <c r="E205" i="27"/>
  <c r="M434" i="25"/>
  <c r="A264" i="27"/>
  <c r="AH264" i="27" s="1"/>
  <c r="E239" i="22"/>
  <c r="M434" i="27"/>
  <c r="P52" i="29"/>
  <c r="A240" i="26"/>
  <c r="A208" i="29"/>
  <c r="E210" i="28"/>
  <c r="E249" i="22"/>
  <c r="B296" i="23"/>
  <c r="G51" i="23"/>
  <c r="E240" i="28"/>
  <c r="E206" i="28"/>
  <c r="E251" i="19"/>
  <c r="A251" i="22"/>
  <c r="A210" i="27"/>
  <c r="E249" i="26"/>
  <c r="E206" i="21"/>
  <c r="A207" i="29"/>
  <c r="E239" i="29"/>
  <c r="E206" i="20"/>
  <c r="E249" i="28"/>
  <c r="M445" i="28"/>
  <c r="M445" i="23"/>
  <c r="A241" i="19"/>
  <c r="A231" i="27"/>
  <c r="E210" i="26"/>
  <c r="E209" i="28"/>
  <c r="A209" i="28"/>
  <c r="E209" i="21"/>
  <c r="A209" i="21"/>
  <c r="A252" i="24"/>
  <c r="E252" i="24"/>
  <c r="A241" i="27"/>
  <c r="M445" i="20"/>
  <c r="A239" i="19"/>
  <c r="E250" i="21"/>
  <c r="A251" i="24"/>
  <c r="A208" i="26"/>
  <c r="A51" i="27"/>
  <c r="E252" i="19"/>
  <c r="M434" i="29"/>
  <c r="E208" i="25"/>
  <c r="J361" i="25"/>
  <c r="P52" i="25" s="1"/>
  <c r="A229" i="27"/>
  <c r="A209" i="24"/>
  <c r="E209" i="29"/>
  <c r="E207" i="21"/>
  <c r="E208" i="19"/>
  <c r="P51" i="27"/>
  <c r="A230" i="26"/>
  <c r="E239" i="24"/>
  <c r="E253" i="27"/>
  <c r="E253" i="19"/>
  <c r="O57" i="18"/>
  <c r="A53" i="29"/>
  <c r="E231" i="25"/>
  <c r="B24" i="9"/>
  <c r="D80" i="31"/>
  <c r="E241" i="25"/>
  <c r="C131" i="15"/>
  <c r="E230" i="25"/>
  <c r="B18" i="9"/>
  <c r="AW264" i="24" s="1"/>
  <c r="O321" i="24"/>
  <c r="E231" i="3"/>
  <c r="C103" i="15"/>
  <c r="J362" i="26"/>
  <c r="J363" i="26" s="1"/>
  <c r="J364" i="26" s="1"/>
  <c r="J365" i="26" s="1"/>
  <c r="J366" i="26" s="1"/>
  <c r="J367" i="26" s="1"/>
  <c r="J368" i="26" s="1"/>
  <c r="J369" i="26" s="1"/>
  <c r="J370" i="26" s="1"/>
  <c r="J371" i="26" s="1"/>
  <c r="P52" i="26"/>
  <c r="J362" i="21"/>
  <c r="J363" i="21" s="1"/>
  <c r="J364" i="21" s="1"/>
  <c r="J365" i="21" s="1"/>
  <c r="J366" i="21" s="1"/>
  <c r="J367" i="21" s="1"/>
  <c r="J368" i="21" s="1"/>
  <c r="J369" i="21" s="1"/>
  <c r="J370" i="21" s="1"/>
  <c r="J371" i="21" s="1"/>
  <c r="J362" i="24"/>
  <c r="J363" i="24" s="1"/>
  <c r="J364" i="24" s="1"/>
  <c r="J365" i="24" s="1"/>
  <c r="J366" i="24" s="1"/>
  <c r="J367" i="24" s="1"/>
  <c r="J368" i="24" s="1"/>
  <c r="J369" i="24" s="1"/>
  <c r="J370" i="24" s="1"/>
  <c r="J371" i="24" s="1"/>
  <c r="P52" i="24"/>
  <c r="P55" i="20"/>
  <c r="J362" i="23"/>
  <c r="J363" i="23" s="1"/>
  <c r="J364" i="23" s="1"/>
  <c r="J365" i="23" s="1"/>
  <c r="J366" i="23" s="1"/>
  <c r="J367" i="23" s="1"/>
  <c r="J368" i="23" s="1"/>
  <c r="J369" i="23" s="1"/>
  <c r="J370" i="23" s="1"/>
  <c r="J371" i="23" s="1"/>
  <c r="P52" i="23"/>
  <c r="P52" i="27"/>
  <c r="J362" i="27"/>
  <c r="J363" i="27" s="1"/>
  <c r="J364" i="27" s="1"/>
  <c r="J365" i="27" s="1"/>
  <c r="J366" i="27" s="1"/>
  <c r="J367" i="27" s="1"/>
  <c r="J368" i="27" s="1"/>
  <c r="J369" i="27" s="1"/>
  <c r="J370" i="27" s="1"/>
  <c r="J371" i="27" s="1"/>
  <c r="O83" i="18"/>
  <c r="P52" i="21"/>
  <c r="G55" i="20"/>
  <c r="A52" i="20"/>
  <c r="A52" i="26"/>
  <c r="O60" i="18"/>
  <c r="J361" i="22"/>
  <c r="J363" i="29"/>
  <c r="O70" i="18"/>
  <c r="P51" i="21"/>
  <c r="P53" i="29"/>
  <c r="A52" i="21"/>
  <c r="A51" i="21"/>
  <c r="A52" i="29"/>
  <c r="O44" i="18"/>
  <c r="O75" i="18"/>
  <c r="J361" i="28"/>
  <c r="A51" i="28"/>
  <c r="A52" i="27"/>
  <c r="A252" i="28"/>
  <c r="A254" i="28"/>
  <c r="A209" i="3"/>
  <c r="E209" i="3"/>
  <c r="A209" i="20"/>
  <c r="E209" i="20"/>
  <c r="E254" i="26"/>
  <c r="A252" i="26"/>
  <c r="E229" i="26"/>
  <c r="E252" i="21"/>
  <c r="G360" i="28"/>
  <c r="G51" i="28" s="1"/>
  <c r="H260" i="28"/>
  <c r="H21" i="28"/>
  <c r="E250" i="24"/>
  <c r="O98" i="18"/>
  <c r="O62" i="18"/>
  <c r="O84" i="18"/>
  <c r="O38" i="18"/>
  <c r="O88" i="18"/>
  <c r="E250" i="23"/>
  <c r="A235" i="3"/>
  <c r="E235" i="19"/>
  <c r="A253" i="25"/>
  <c r="D41" i="31"/>
  <c r="E230" i="26"/>
  <c r="E249" i="20"/>
  <c r="P264" i="28"/>
  <c r="BC264" i="28" s="1"/>
  <c r="C111" i="15"/>
  <c r="H310" i="21"/>
  <c r="E210" i="29"/>
  <c r="A253" i="22"/>
  <c r="D70" i="31"/>
  <c r="D88" i="31"/>
  <c r="E206" i="22"/>
  <c r="C94" i="15"/>
  <c r="O321" i="21"/>
  <c r="D86" i="31"/>
  <c r="E231" i="24"/>
  <c r="AW264" i="29"/>
  <c r="O209" i="19"/>
  <c r="E249" i="29"/>
  <c r="E235" i="21"/>
  <c r="A241" i="21"/>
  <c r="C92" i="15"/>
  <c r="I200" i="28"/>
  <c r="A250" i="27"/>
  <c r="E206" i="26"/>
  <c r="E252" i="25"/>
  <c r="A252" i="25"/>
  <c r="E252" i="29"/>
  <c r="A252" i="29"/>
  <c r="E209" i="26"/>
  <c r="A209" i="26"/>
  <c r="A252" i="20"/>
  <c r="E252" i="20"/>
  <c r="E230" i="19"/>
  <c r="A229" i="29"/>
  <c r="A229" i="20"/>
  <c r="A229" i="25"/>
  <c r="A209" i="25"/>
  <c r="E209" i="23"/>
  <c r="E252" i="28"/>
  <c r="E210" i="21"/>
  <c r="O53" i="18"/>
  <c r="E253" i="29"/>
  <c r="E252" i="26"/>
  <c r="A239" i="21"/>
  <c r="D69" i="31"/>
  <c r="P2" i="22"/>
  <c r="R264" i="22" s="1"/>
  <c r="E240" i="19"/>
  <c r="O321" i="27"/>
  <c r="O321" i="23"/>
  <c r="A231" i="20"/>
  <c r="E229" i="3"/>
  <c r="A229" i="24"/>
  <c r="E229" i="21"/>
  <c r="E254" i="28"/>
  <c r="O36" i="18"/>
  <c r="O63" i="18"/>
  <c r="O86" i="18"/>
  <c r="O96" i="18"/>
  <c r="O321" i="28"/>
  <c r="O321" i="26"/>
  <c r="A250" i="29"/>
  <c r="O321" i="29"/>
  <c r="O321" i="25"/>
  <c r="A231" i="25"/>
  <c r="A240" i="19"/>
  <c r="O46" i="18"/>
  <c r="O71" i="18"/>
  <c r="O99" i="18"/>
  <c r="O321" i="20"/>
  <c r="O91" i="18"/>
  <c r="O102" i="18"/>
  <c r="O321" i="3"/>
  <c r="M434" i="26"/>
  <c r="M434" i="21"/>
  <c r="A51" i="3"/>
  <c r="J361" i="3"/>
  <c r="P52" i="3" s="1"/>
  <c r="P51" i="3"/>
  <c r="O73" i="18"/>
  <c r="O48" i="18"/>
  <c r="O77" i="18"/>
  <c r="O92" i="18"/>
  <c r="O103" i="18"/>
  <c r="O90" i="18"/>
  <c r="O51" i="18"/>
  <c r="O79" i="18"/>
  <c r="O93" i="18"/>
  <c r="O58" i="18"/>
  <c r="O81" i="18"/>
  <c r="O55" i="18"/>
  <c r="A231" i="29"/>
  <c r="E231" i="21"/>
  <c r="O322" i="25"/>
  <c r="A241" i="22"/>
  <c r="A231" i="28"/>
  <c r="C95" i="15"/>
  <c r="O322" i="23"/>
  <c r="O322" i="20"/>
  <c r="D85" i="31"/>
  <c r="F105" i="4"/>
  <c r="A230" i="24"/>
  <c r="E240" i="25"/>
  <c r="C108" i="15"/>
  <c r="O322" i="29"/>
  <c r="O322" i="28"/>
  <c r="O322" i="27"/>
  <c r="O322" i="24"/>
  <c r="F104" i="4"/>
  <c r="B44" i="8" s="1"/>
  <c r="E231" i="26"/>
  <c r="O323" i="27"/>
  <c r="O323" i="26"/>
  <c r="E240" i="26"/>
  <c r="A241" i="29"/>
  <c r="A240" i="24"/>
  <c r="AJ264" i="28"/>
  <c r="E231" i="27"/>
  <c r="E231" i="28"/>
  <c r="O323" i="28"/>
  <c r="C93" i="15"/>
  <c r="C96" i="15"/>
  <c r="O323" i="22"/>
  <c r="E241" i="28"/>
  <c r="O323" i="21"/>
  <c r="A241" i="20"/>
  <c r="O323" i="20"/>
  <c r="E241" i="26"/>
  <c r="C63" i="15"/>
  <c r="E241" i="29"/>
  <c r="A240" i="21"/>
  <c r="A241" i="26"/>
  <c r="A52" i="24"/>
  <c r="O322" i="3"/>
  <c r="O322" i="26"/>
  <c r="O322" i="22"/>
  <c r="AJ264" i="21"/>
  <c r="E230" i="27"/>
  <c r="A230" i="28"/>
  <c r="A241" i="3"/>
  <c r="O322" i="21"/>
  <c r="O323" i="23"/>
  <c r="O323" i="25"/>
  <c r="O323" i="3"/>
  <c r="A241" i="24"/>
  <c r="A52" i="22"/>
  <c r="C39" i="15"/>
  <c r="C117" i="15"/>
  <c r="A52" i="23"/>
  <c r="E230" i="22"/>
  <c r="E205" i="22"/>
  <c r="E250" i="22"/>
  <c r="A231" i="22"/>
  <c r="A209" i="22"/>
  <c r="E209" i="22"/>
  <c r="E252" i="22"/>
  <c r="A252" i="22"/>
  <c r="E240" i="22"/>
  <c r="E210" i="22"/>
  <c r="A240" i="22"/>
  <c r="B43" i="10"/>
  <c r="G360" i="25"/>
  <c r="G51" i="25" s="1"/>
  <c r="I200" i="25"/>
  <c r="H21" i="25"/>
  <c r="H21" i="24"/>
  <c r="P264" i="24"/>
  <c r="BC264" i="24" s="1"/>
  <c r="H147" i="29"/>
  <c r="H260" i="24"/>
  <c r="H310" i="24"/>
  <c r="H260" i="25"/>
  <c r="H310" i="25"/>
  <c r="H147" i="24"/>
  <c r="A264" i="26"/>
  <c r="P264" i="26" s="1"/>
  <c r="BC264" i="26" s="1"/>
  <c r="I200" i="24"/>
  <c r="I200" i="21"/>
  <c r="P2" i="29"/>
  <c r="R264" i="29" s="1"/>
  <c r="A264" i="20"/>
  <c r="R264" i="20" s="1"/>
  <c r="I200" i="3"/>
  <c r="H147" i="21"/>
  <c r="H147" i="3"/>
  <c r="P264" i="21"/>
  <c r="BC264" i="21" s="1"/>
  <c r="H21" i="3"/>
  <c r="P2" i="23"/>
  <c r="R264" i="23" s="1"/>
  <c r="B31" i="9"/>
  <c r="G360" i="21"/>
  <c r="G51" i="21" s="1"/>
  <c r="G360" i="3"/>
  <c r="G51" i="3" s="1"/>
  <c r="H21" i="21"/>
  <c r="H260" i="21"/>
  <c r="H260" i="3"/>
  <c r="M434" i="20"/>
  <c r="M434" i="24"/>
  <c r="M434" i="3"/>
  <c r="A230" i="19"/>
  <c r="A240" i="20"/>
  <c r="E230" i="20"/>
  <c r="E240" i="20"/>
  <c r="A230" i="21"/>
  <c r="E230" i="3"/>
  <c r="E241" i="19"/>
  <c r="A240" i="3"/>
  <c r="A230" i="29"/>
  <c r="E230" i="29"/>
  <c r="G408" i="3"/>
  <c r="P406" i="23"/>
  <c r="G408" i="23" s="1"/>
  <c r="P406" i="22"/>
  <c r="G408" i="22" s="1"/>
  <c r="P406" i="24"/>
  <c r="G408" i="24" s="1"/>
  <c r="P406" i="27"/>
  <c r="G408" i="27" s="1"/>
  <c r="P406" i="25"/>
  <c r="G408" i="25" s="1"/>
  <c r="P406" i="28"/>
  <c r="G408" i="28" s="1"/>
  <c r="P406" i="26"/>
  <c r="G408" i="26" s="1"/>
  <c r="P406" i="29"/>
  <c r="G408" i="29" s="1"/>
  <c r="P406" i="20"/>
  <c r="G408" i="20" s="1"/>
  <c r="P406" i="21"/>
  <c r="G408" i="21" s="1"/>
  <c r="P406" i="19"/>
  <c r="G408" i="19" s="1"/>
  <c r="A265" i="28"/>
  <c r="AH264" i="29"/>
  <c r="A265" i="29"/>
  <c r="P2" i="28"/>
  <c r="R264" i="28" s="1"/>
  <c r="A265" i="25"/>
  <c r="AH264" i="25"/>
  <c r="A265" i="23"/>
  <c r="AH264" i="23"/>
  <c r="AH264" i="24"/>
  <c r="A265" i="24"/>
  <c r="P2" i="24"/>
  <c r="R264" i="24" s="1"/>
  <c r="AH264" i="22"/>
  <c r="A265" i="22"/>
  <c r="P2" i="25"/>
  <c r="R264" i="25" s="1"/>
  <c r="A265" i="21"/>
  <c r="A264" i="19"/>
  <c r="P2" i="19"/>
  <c r="A265" i="3"/>
  <c r="AH264" i="3"/>
  <c r="P2" i="3"/>
  <c r="R264" i="3" s="1"/>
  <c r="P2" i="21"/>
  <c r="R264" i="21" s="1"/>
  <c r="S226" i="25"/>
  <c r="O228" i="25" s="1"/>
  <c r="S226" i="19"/>
  <c r="S236" i="24"/>
  <c r="S216" i="26"/>
  <c r="O217" i="26" s="1"/>
  <c r="S236" i="27"/>
  <c r="S226" i="23"/>
  <c r="S216" i="29"/>
  <c r="O217" i="29" s="1"/>
  <c r="S236" i="28"/>
  <c r="S236" i="29"/>
  <c r="S226" i="29"/>
  <c r="S216" i="22"/>
  <c r="O217" i="22" s="1"/>
  <c r="P315" i="19"/>
  <c r="A389" i="19" s="1"/>
  <c r="E315" i="19"/>
  <c r="E315" i="3"/>
  <c r="AA311" i="10"/>
  <c r="P315" i="3"/>
  <c r="AB311" i="10"/>
  <c r="S216" i="20"/>
  <c r="O217" i="20" s="1"/>
  <c r="S216" i="21"/>
  <c r="O217" i="21" s="1"/>
  <c r="S226" i="22"/>
  <c r="S236" i="23"/>
  <c r="S236" i="25"/>
  <c r="S226" i="26"/>
  <c r="S226" i="20"/>
  <c r="S226" i="21"/>
  <c r="S236" i="22"/>
  <c r="S216" i="24"/>
  <c r="O217" i="24" s="1"/>
  <c r="S236" i="26"/>
  <c r="S216" i="27"/>
  <c r="O217" i="27" s="1"/>
  <c r="S216" i="28"/>
  <c r="O217" i="28" s="1"/>
  <c r="S236" i="20"/>
  <c r="S236" i="21"/>
  <c r="S216" i="23"/>
  <c r="O217" i="23" s="1"/>
  <c r="S226" i="24"/>
  <c r="S216" i="25"/>
  <c r="O217" i="25" s="1"/>
  <c r="S226" i="27"/>
  <c r="S226" i="28"/>
  <c r="T43" i="10"/>
  <c r="S216" i="3"/>
  <c r="O217" i="3" s="1"/>
  <c r="S216" i="19"/>
  <c r="O217" i="19" s="1"/>
  <c r="S226" i="3"/>
  <c r="S236" i="3"/>
  <c r="S236" i="19"/>
  <c r="B7" i="14"/>
  <c r="AW264" i="23" l="1"/>
  <c r="AW264" i="21"/>
  <c r="AW264" i="25"/>
  <c r="AW264" i="22"/>
  <c r="AW264" i="3"/>
  <c r="AW264" i="28"/>
  <c r="P54" i="21"/>
  <c r="R264" i="27"/>
  <c r="X264" i="27" s="1"/>
  <c r="AW264" i="27"/>
  <c r="A265" i="27"/>
  <c r="P265" i="27" s="1"/>
  <c r="BC265" i="27" s="1"/>
  <c r="P58" i="21"/>
  <c r="P59" i="21"/>
  <c r="G57" i="21"/>
  <c r="P53" i="19"/>
  <c r="A52" i="19"/>
  <c r="A53" i="19"/>
  <c r="P54" i="19"/>
  <c r="P57" i="21"/>
  <c r="P52" i="19"/>
  <c r="G55" i="23"/>
  <c r="G56" i="26"/>
  <c r="G59" i="23"/>
  <c r="P53" i="21"/>
  <c r="A53" i="21"/>
  <c r="A53" i="26"/>
  <c r="G59" i="21"/>
  <c r="P53" i="23"/>
  <c r="P58" i="23"/>
  <c r="G55" i="24"/>
  <c r="P54" i="20"/>
  <c r="AH264" i="20"/>
  <c r="AN263" i="20" s="1"/>
  <c r="A254" i="26"/>
  <c r="B3" i="9"/>
  <c r="G360" i="27"/>
  <c r="G51" i="27" s="1"/>
  <c r="P264" i="27"/>
  <c r="BC264" i="27" s="1"/>
  <c r="J362" i="25"/>
  <c r="A53" i="25" s="1"/>
  <c r="A52" i="25"/>
  <c r="E61" i="24"/>
  <c r="G56" i="21"/>
  <c r="G56" i="27"/>
  <c r="P62" i="27"/>
  <c r="P54" i="24"/>
  <c r="P59" i="19"/>
  <c r="P56" i="27"/>
  <c r="P60" i="21"/>
  <c r="P61" i="21"/>
  <c r="P60" i="19"/>
  <c r="G55" i="27"/>
  <c r="G58" i="21"/>
  <c r="A265" i="20"/>
  <c r="A266" i="20" s="1"/>
  <c r="G59" i="24"/>
  <c r="G57" i="24"/>
  <c r="G55" i="21"/>
  <c r="P59" i="24"/>
  <c r="A254" i="21"/>
  <c r="E254" i="21"/>
  <c r="A53" i="24"/>
  <c r="E62" i="21"/>
  <c r="E62" i="27"/>
  <c r="P53" i="27"/>
  <c r="P53" i="24"/>
  <c r="A254" i="19"/>
  <c r="E254" i="19"/>
  <c r="G59" i="19"/>
  <c r="G56" i="19"/>
  <c r="P61" i="27"/>
  <c r="P57" i="24"/>
  <c r="P62" i="24"/>
  <c r="P62" i="26"/>
  <c r="P59" i="26"/>
  <c r="G55" i="19"/>
  <c r="G55" i="26"/>
  <c r="G59" i="27"/>
  <c r="P58" i="27"/>
  <c r="P57" i="27"/>
  <c r="P60" i="23"/>
  <c r="P56" i="24"/>
  <c r="E61" i="26"/>
  <c r="P61" i="26"/>
  <c r="E254" i="24"/>
  <c r="A254" i="24"/>
  <c r="G57" i="19"/>
  <c r="P61" i="19"/>
  <c r="E61" i="27"/>
  <c r="P54" i="27"/>
  <c r="P54" i="26"/>
  <c r="P55" i="19"/>
  <c r="E61" i="19"/>
  <c r="P62" i="19"/>
  <c r="P58" i="19"/>
  <c r="P56" i="19"/>
  <c r="P59" i="27"/>
  <c r="A53" i="27"/>
  <c r="E61" i="23"/>
  <c r="G56" i="24"/>
  <c r="P62" i="21"/>
  <c r="G58" i="26"/>
  <c r="G57" i="27"/>
  <c r="P60" i="20"/>
  <c r="P53" i="26"/>
  <c r="G58" i="19"/>
  <c r="E62" i="26"/>
  <c r="G59" i="26"/>
  <c r="P55" i="26"/>
  <c r="P60" i="26"/>
  <c r="A52" i="3"/>
  <c r="E62" i="24"/>
  <c r="P55" i="21"/>
  <c r="E61" i="21"/>
  <c r="P60" i="27"/>
  <c r="G58" i="27"/>
  <c r="P62" i="23"/>
  <c r="P59" i="23"/>
  <c r="G58" i="23"/>
  <c r="P56" i="20"/>
  <c r="P60" i="24"/>
  <c r="P58" i="24"/>
  <c r="P56" i="21"/>
  <c r="P57" i="26"/>
  <c r="G57" i="26"/>
  <c r="P54" i="29"/>
  <c r="J364" i="29"/>
  <c r="P55" i="29" s="1"/>
  <c r="P61" i="23"/>
  <c r="G57" i="23"/>
  <c r="P56" i="23"/>
  <c r="G58" i="20"/>
  <c r="G59" i="20"/>
  <c r="P61" i="20"/>
  <c r="P52" i="28"/>
  <c r="G56" i="20"/>
  <c r="P59" i="20"/>
  <c r="J363" i="25"/>
  <c r="P53" i="25"/>
  <c r="A53" i="23"/>
  <c r="P58" i="20"/>
  <c r="G57" i="20"/>
  <c r="P55" i="24"/>
  <c r="P58" i="26"/>
  <c r="E62" i="19"/>
  <c r="J362" i="28"/>
  <c r="J363" i="28" s="1"/>
  <c r="J364" i="28" s="1"/>
  <c r="J365" i="28" s="1"/>
  <c r="J366" i="28" s="1"/>
  <c r="J367" i="28" s="1"/>
  <c r="J368" i="28" s="1"/>
  <c r="J369" i="28" s="1"/>
  <c r="J370" i="28" s="1"/>
  <c r="J371" i="28" s="1"/>
  <c r="A52" i="28"/>
  <c r="P55" i="27"/>
  <c r="P57" i="23"/>
  <c r="P54" i="23"/>
  <c r="P57" i="20"/>
  <c r="G58" i="24"/>
  <c r="P61" i="24"/>
  <c r="P56" i="26"/>
  <c r="P57" i="19"/>
  <c r="E62" i="20"/>
  <c r="P52" i="22"/>
  <c r="J362" i="22"/>
  <c r="G56" i="23"/>
  <c r="E62" i="23"/>
  <c r="P55" i="23"/>
  <c r="P62" i="20"/>
  <c r="E61" i="20"/>
  <c r="AH264" i="26"/>
  <c r="AJ264" i="26" s="1"/>
  <c r="E209" i="19"/>
  <c r="A209" i="19"/>
  <c r="G360" i="26"/>
  <c r="G51" i="26" s="1"/>
  <c r="A252" i="23"/>
  <c r="E252" i="23"/>
  <c r="R264" i="26"/>
  <c r="X264" i="26" s="1"/>
  <c r="AN263" i="3"/>
  <c r="A254" i="29"/>
  <c r="E254" i="29"/>
  <c r="A252" i="27"/>
  <c r="E252" i="27"/>
  <c r="E254" i="25"/>
  <c r="A254" i="25"/>
  <c r="E254" i="20"/>
  <c r="A254" i="20"/>
  <c r="J362" i="3"/>
  <c r="A53" i="3" s="1"/>
  <c r="A254" i="22"/>
  <c r="E254" i="22"/>
  <c r="DJ260" i="28"/>
  <c r="DJ260" i="21"/>
  <c r="DJ260" i="20"/>
  <c r="DJ260" i="27"/>
  <c r="DJ260" i="26"/>
  <c r="A265" i="26"/>
  <c r="A266" i="26" s="1"/>
  <c r="DJ260" i="22"/>
  <c r="DJ260" i="25"/>
  <c r="DJ260" i="23"/>
  <c r="DJ260" i="19"/>
  <c r="DJ260" i="29"/>
  <c r="DJ260" i="24"/>
  <c r="AW264" i="26"/>
  <c r="AN263" i="28"/>
  <c r="AN263" i="21"/>
  <c r="G360" i="20"/>
  <c r="G51" i="20" s="1"/>
  <c r="P264" i="20"/>
  <c r="BC264" i="20" s="1"/>
  <c r="AW264" i="20"/>
  <c r="A322" i="29"/>
  <c r="B19" i="9"/>
  <c r="F28" i="4"/>
  <c r="S230" i="25"/>
  <c r="AM264" i="3"/>
  <c r="DL264" i="3" s="1"/>
  <c r="AQ264" i="3"/>
  <c r="S264" i="3"/>
  <c r="U264" i="3"/>
  <c r="W264" i="3"/>
  <c r="X264" i="3"/>
  <c r="AM264" i="28"/>
  <c r="W264" i="28"/>
  <c r="U264" i="28"/>
  <c r="X264" i="28"/>
  <c r="AQ264" i="28"/>
  <c r="S264" i="28"/>
  <c r="AM264" i="25"/>
  <c r="AQ264" i="25"/>
  <c r="S264" i="25"/>
  <c r="U264" i="25"/>
  <c r="X264" i="25"/>
  <c r="W264" i="25"/>
  <c r="R265" i="28"/>
  <c r="AC265" i="28" s="1"/>
  <c r="AH265" i="28"/>
  <c r="AJ265" i="28" s="1"/>
  <c r="AW265" i="28"/>
  <c r="P265" i="28"/>
  <c r="BC265" i="28" s="1"/>
  <c r="A266" i="28"/>
  <c r="A266" i="24"/>
  <c r="R265" i="24"/>
  <c r="AC265" i="24" s="1"/>
  <c r="AH265" i="24"/>
  <c r="AJ265" i="24" s="1"/>
  <c r="AW265" i="24"/>
  <c r="P265" i="24"/>
  <c r="BC265" i="24" s="1"/>
  <c r="R265" i="23"/>
  <c r="AB265" i="23" s="1"/>
  <c r="AH265" i="23"/>
  <c r="AJ265" i="23" s="1"/>
  <c r="A266" i="23"/>
  <c r="P265" i="23"/>
  <c r="BC265" i="23" s="1"/>
  <c r="AW265" i="23"/>
  <c r="AJ264" i="3"/>
  <c r="AJ264" i="29"/>
  <c r="AN263" i="29"/>
  <c r="AJ264" i="24"/>
  <c r="AN263" i="24"/>
  <c r="R265" i="3"/>
  <c r="AA265" i="3" s="1"/>
  <c r="AH265" i="3"/>
  <c r="AJ265" i="3" s="1"/>
  <c r="A266" i="3"/>
  <c r="AW265" i="3"/>
  <c r="P265" i="3"/>
  <c r="BC265" i="3" s="1"/>
  <c r="U264" i="20"/>
  <c r="X264" i="20"/>
  <c r="AQ264" i="20"/>
  <c r="S264" i="20"/>
  <c r="W264" i="20"/>
  <c r="R265" i="25"/>
  <c r="AH265" i="25"/>
  <c r="AJ265" i="25" s="1"/>
  <c r="A266" i="25"/>
  <c r="P265" i="25"/>
  <c r="BC265" i="25" s="1"/>
  <c r="AW265" i="25"/>
  <c r="AM264" i="29"/>
  <c r="U264" i="29"/>
  <c r="X264" i="29"/>
  <c r="W264" i="29"/>
  <c r="AQ264" i="29"/>
  <c r="S264" i="29"/>
  <c r="A266" i="29"/>
  <c r="R265" i="29"/>
  <c r="AA265" i="29" s="1"/>
  <c r="AH265" i="29"/>
  <c r="AJ265" i="29" s="1"/>
  <c r="AW265" i="29"/>
  <c r="P265" i="29"/>
  <c r="BC265" i="29" s="1"/>
  <c r="A266" i="22"/>
  <c r="R265" i="22"/>
  <c r="Y265" i="22" s="1"/>
  <c r="AH265" i="22"/>
  <c r="AJ265" i="22" s="1"/>
  <c r="P265" i="22"/>
  <c r="BC265" i="22" s="1"/>
  <c r="AW265" i="22"/>
  <c r="R264" i="19"/>
  <c r="Y264" i="19" s="1"/>
  <c r="AH264" i="19"/>
  <c r="A265" i="19"/>
  <c r="AW264" i="19"/>
  <c r="G360" i="19"/>
  <c r="G51" i="19" s="1"/>
  <c r="P264" i="19"/>
  <c r="BC264" i="19" s="1"/>
  <c r="AJ264" i="22"/>
  <c r="AN263" i="22"/>
  <c r="A266" i="27"/>
  <c r="R265" i="27"/>
  <c r="Y265" i="27" s="1"/>
  <c r="AH265" i="27"/>
  <c r="AJ265" i="27" s="1"/>
  <c r="AW265" i="27"/>
  <c r="AJ264" i="25"/>
  <c r="AN263" i="25"/>
  <c r="AM264" i="21"/>
  <c r="X264" i="21"/>
  <c r="W264" i="21"/>
  <c r="AQ264" i="21"/>
  <c r="U264" i="21"/>
  <c r="S264" i="21"/>
  <c r="AM264" i="22"/>
  <c r="S264" i="22"/>
  <c r="AQ264" i="22"/>
  <c r="W264" i="22"/>
  <c r="U264" i="22"/>
  <c r="X264" i="22"/>
  <c r="AJ264" i="23"/>
  <c r="AN263" i="23"/>
  <c r="AJ264" i="27"/>
  <c r="AN263" i="27"/>
  <c r="R265" i="21"/>
  <c r="AH265" i="21"/>
  <c r="AJ265" i="21" s="1"/>
  <c r="A266" i="21"/>
  <c r="AW265" i="21"/>
  <c r="P265" i="21"/>
  <c r="BC265" i="21" s="1"/>
  <c r="AM264" i="24"/>
  <c r="X264" i="24"/>
  <c r="S264" i="24"/>
  <c r="AQ264" i="24"/>
  <c r="W264" i="24"/>
  <c r="U264" i="24"/>
  <c r="AM264" i="23"/>
  <c r="W264" i="23"/>
  <c r="X264" i="23"/>
  <c r="U264" i="23"/>
  <c r="S264" i="23"/>
  <c r="AQ264" i="23"/>
  <c r="S231" i="25"/>
  <c r="Y264" i="29"/>
  <c r="O227" i="25"/>
  <c r="A227" i="25" s="1"/>
  <c r="O237" i="26"/>
  <c r="G237" i="26" s="1"/>
  <c r="Y264" i="28"/>
  <c r="S221" i="22"/>
  <c r="O218" i="22"/>
  <c r="I388" i="19"/>
  <c r="D45" i="18" s="1"/>
  <c r="B315" i="19"/>
  <c r="S230" i="29"/>
  <c r="O227" i="29"/>
  <c r="A227" i="29" s="1"/>
  <c r="O228" i="29"/>
  <c r="S231" i="29"/>
  <c r="S241" i="29"/>
  <c r="S240" i="29"/>
  <c r="O237" i="29"/>
  <c r="O238" i="29"/>
  <c r="O237" i="27"/>
  <c r="S241" i="27"/>
  <c r="O238" i="27"/>
  <c r="S240" i="27"/>
  <c r="O237" i="28"/>
  <c r="O238" i="28"/>
  <c r="S241" i="28"/>
  <c r="S240" i="28"/>
  <c r="O218" i="26"/>
  <c r="S221" i="26"/>
  <c r="AC264" i="29"/>
  <c r="S221" i="29"/>
  <c r="O218" i="29"/>
  <c r="AB264" i="29"/>
  <c r="AA264" i="29"/>
  <c r="O332" i="29"/>
  <c r="O237" i="24"/>
  <c r="S241" i="24"/>
  <c r="O238" i="24"/>
  <c r="S240" i="24"/>
  <c r="E228" i="25"/>
  <c r="A228" i="25"/>
  <c r="S230" i="23"/>
  <c r="S231" i="23"/>
  <c r="O227" i="23"/>
  <c r="A227" i="23" s="1"/>
  <c r="S230" i="19"/>
  <c r="O228" i="19"/>
  <c r="O227" i="19"/>
  <c r="A227" i="19" s="1"/>
  <c r="S231" i="19"/>
  <c r="S231" i="28"/>
  <c r="S230" i="28"/>
  <c r="O228" i="28"/>
  <c r="O227" i="28"/>
  <c r="A227" i="28" s="1"/>
  <c r="Y264" i="23"/>
  <c r="O332" i="23"/>
  <c r="AC264" i="23"/>
  <c r="AB264" i="23"/>
  <c r="S221" i="23"/>
  <c r="AA264" i="23"/>
  <c r="S221" i="27"/>
  <c r="O332" i="27"/>
  <c r="O218" i="27"/>
  <c r="S230" i="21"/>
  <c r="O227" i="21"/>
  <c r="A227" i="21" s="1"/>
  <c r="O228" i="21"/>
  <c r="S231" i="21"/>
  <c r="O237" i="23"/>
  <c r="S240" i="23"/>
  <c r="S241" i="23"/>
  <c r="B315" i="3"/>
  <c r="A389" i="3"/>
  <c r="A46" i="18" s="1"/>
  <c r="I388" i="3"/>
  <c r="S231" i="27"/>
  <c r="S230" i="27"/>
  <c r="O228" i="27"/>
  <c r="O227" i="27"/>
  <c r="A227" i="27" s="1"/>
  <c r="O237" i="21"/>
  <c r="O238" i="21"/>
  <c r="S240" i="21"/>
  <c r="S241" i="21"/>
  <c r="S241" i="26"/>
  <c r="O238" i="26"/>
  <c r="S240" i="26"/>
  <c r="O227" i="20"/>
  <c r="A227" i="20" s="1"/>
  <c r="S231" i="20"/>
  <c r="S230" i="20"/>
  <c r="O228" i="20"/>
  <c r="O228" i="22"/>
  <c r="AB264" i="22"/>
  <c r="AC264" i="22"/>
  <c r="S230" i="22"/>
  <c r="O332" i="22"/>
  <c r="S231" i="22"/>
  <c r="O227" i="22"/>
  <c r="A227" i="22" s="1"/>
  <c r="AA264" i="22"/>
  <c r="Y264" i="22"/>
  <c r="Y264" i="25"/>
  <c r="O332" i="25"/>
  <c r="AA264" i="25"/>
  <c r="S221" i="25"/>
  <c r="AC264" i="25"/>
  <c r="AB264" i="25"/>
  <c r="O218" i="25"/>
  <c r="O238" i="20"/>
  <c r="S240" i="20"/>
  <c r="O237" i="20"/>
  <c r="S241" i="20"/>
  <c r="Y264" i="24"/>
  <c r="S221" i="24"/>
  <c r="AA264" i="24"/>
  <c r="AB264" i="24"/>
  <c r="O218" i="24"/>
  <c r="O332" i="24"/>
  <c r="AC264" i="24"/>
  <c r="O332" i="26"/>
  <c r="S230" i="26"/>
  <c r="O227" i="26"/>
  <c r="A227" i="26" s="1"/>
  <c r="S231" i="26"/>
  <c r="O228" i="26"/>
  <c r="Y264" i="21"/>
  <c r="AC264" i="21"/>
  <c r="O218" i="21"/>
  <c r="O332" i="21"/>
  <c r="AB264" i="21"/>
  <c r="S221" i="21"/>
  <c r="AA264" i="21"/>
  <c r="O228" i="24"/>
  <c r="S230" i="24"/>
  <c r="O227" i="24"/>
  <c r="A227" i="24" s="1"/>
  <c r="S231" i="24"/>
  <c r="AB264" i="28"/>
  <c r="O332" i="28"/>
  <c r="AA265" i="28"/>
  <c r="O218" i="28"/>
  <c r="S221" i="28"/>
  <c r="AA264" i="28"/>
  <c r="AC264" i="28"/>
  <c r="O237" i="22"/>
  <c r="O238" i="22"/>
  <c r="S240" i="22"/>
  <c r="S241" i="22"/>
  <c r="O237" i="25"/>
  <c r="S241" i="25"/>
  <c r="O238" i="25"/>
  <c r="S240" i="25"/>
  <c r="Y264" i="20"/>
  <c r="AA264" i="20"/>
  <c r="O218" i="20"/>
  <c r="AC264" i="20"/>
  <c r="S221" i="20"/>
  <c r="AB264" i="20"/>
  <c r="O332" i="20"/>
  <c r="O237" i="3"/>
  <c r="O238" i="3"/>
  <c r="S240" i="3"/>
  <c r="S241" i="3"/>
  <c r="O227" i="3"/>
  <c r="A227" i="3" s="1"/>
  <c r="S231" i="3"/>
  <c r="O228" i="3"/>
  <c r="S230" i="3"/>
  <c r="AC264" i="19"/>
  <c r="O218" i="19"/>
  <c r="S221" i="19"/>
  <c r="O332" i="19"/>
  <c r="O237" i="19"/>
  <c r="S241" i="19"/>
  <c r="O238" i="19"/>
  <c r="S240" i="19"/>
  <c r="Y264" i="3"/>
  <c r="AA264" i="3"/>
  <c r="AB264" i="3"/>
  <c r="AC264" i="3"/>
  <c r="O332" i="3"/>
  <c r="S221" i="3"/>
  <c r="AJ264" i="20" l="1"/>
  <c r="U264" i="27"/>
  <c r="S264" i="27"/>
  <c r="AA264" i="27"/>
  <c r="Y264" i="27"/>
  <c r="AQ264" i="27"/>
  <c r="AB264" i="27"/>
  <c r="AM264" i="27"/>
  <c r="DL264" i="27" s="1"/>
  <c r="AC264" i="27"/>
  <c r="W264" i="27"/>
  <c r="AB264" i="26"/>
  <c r="O242" i="23"/>
  <c r="O232" i="23"/>
  <c r="O222" i="23"/>
  <c r="AM264" i="20"/>
  <c r="DL264" i="20" s="1"/>
  <c r="AB265" i="28"/>
  <c r="Y265" i="28"/>
  <c r="AA264" i="19"/>
  <c r="AB264" i="19"/>
  <c r="R265" i="20"/>
  <c r="AA265" i="20" s="1"/>
  <c r="AN263" i="26"/>
  <c r="AB265" i="29"/>
  <c r="AC265" i="29"/>
  <c r="AW265" i="20"/>
  <c r="P265" i="20"/>
  <c r="BC265" i="20" s="1"/>
  <c r="AH265" i="20"/>
  <c r="AJ265" i="20" s="1"/>
  <c r="U264" i="26"/>
  <c r="AC265" i="3"/>
  <c r="Y265" i="3"/>
  <c r="AA265" i="24"/>
  <c r="AB265" i="3"/>
  <c r="AB265" i="24"/>
  <c r="Y265" i="24"/>
  <c r="G152" i="20"/>
  <c r="G152" i="28"/>
  <c r="G152" i="25"/>
  <c r="G152" i="27"/>
  <c r="G152" i="21"/>
  <c r="G152" i="29"/>
  <c r="G152" i="24"/>
  <c r="G152" i="19"/>
  <c r="G152" i="22"/>
  <c r="G152" i="3"/>
  <c r="G152" i="23"/>
  <c r="G152" i="26"/>
  <c r="W4" i="10"/>
  <c r="H32" i="8" s="1"/>
  <c r="G4" i="10"/>
  <c r="G68" i="10"/>
  <c r="U5" i="10"/>
  <c r="K5" i="10"/>
  <c r="C69" i="10"/>
  <c r="E123" i="10"/>
  <c r="D123" i="10"/>
  <c r="G305" i="21" s="1"/>
  <c r="C71" i="10"/>
  <c r="B123" i="10"/>
  <c r="U4" i="10"/>
  <c r="I67" i="10"/>
  <c r="H123" i="10"/>
  <c r="Q318" i="21" s="1"/>
  <c r="C318" i="21" s="1"/>
  <c r="S4" i="10"/>
  <c r="G123" i="10"/>
  <c r="Q317" i="25" s="1"/>
  <c r="C317" i="25" s="1"/>
  <c r="C123" i="10"/>
  <c r="P240" i="25" s="1"/>
  <c r="L123" i="10"/>
  <c r="K123" i="10"/>
  <c r="C70" i="10"/>
  <c r="S5" i="10"/>
  <c r="S7" i="10"/>
  <c r="A4" i="10"/>
  <c r="A68" i="10"/>
  <c r="K4" i="10"/>
  <c r="C78" i="17" s="1"/>
  <c r="C63" i="4" s="1"/>
  <c r="I5" i="10"/>
  <c r="Q4" i="10"/>
  <c r="C68" i="10"/>
  <c r="C5" i="10"/>
  <c r="C4" i="10"/>
  <c r="E67" i="10"/>
  <c r="E4" i="10"/>
  <c r="C72" i="10"/>
  <c r="E5" i="10"/>
  <c r="W5" i="10"/>
  <c r="H33" i="8" s="1"/>
  <c r="Q5" i="10"/>
  <c r="D96" i="4" s="1"/>
  <c r="F96" i="4" s="1"/>
  <c r="I4" i="10"/>
  <c r="C74" i="17" s="1"/>
  <c r="C59" i="4" s="1"/>
  <c r="G6" i="10"/>
  <c r="A123" i="10"/>
  <c r="B29" i="4" s="1"/>
  <c r="C21" i="31" s="1"/>
  <c r="F123" i="10"/>
  <c r="Q316" i="29" s="1"/>
  <c r="C316" i="29" s="1"/>
  <c r="A5" i="10"/>
  <c r="S6" i="10"/>
  <c r="J123" i="10"/>
  <c r="G5" i="10"/>
  <c r="E68" i="10"/>
  <c r="C67" i="10"/>
  <c r="A67" i="10"/>
  <c r="C81" i="17" s="1"/>
  <c r="C66" i="4" s="1"/>
  <c r="I68" i="10"/>
  <c r="G217" i="22" s="1"/>
  <c r="G67" i="10"/>
  <c r="I123" i="10"/>
  <c r="F5" i="27" s="1"/>
  <c r="AA265" i="27"/>
  <c r="AC265" i="27"/>
  <c r="AB265" i="27"/>
  <c r="P59" i="28"/>
  <c r="P57" i="28"/>
  <c r="P55" i="28"/>
  <c r="P61" i="28"/>
  <c r="G56" i="28"/>
  <c r="E62" i="28"/>
  <c r="E61" i="28"/>
  <c r="J365" i="29"/>
  <c r="G55" i="29"/>
  <c r="A53" i="28"/>
  <c r="G55" i="28"/>
  <c r="P60" i="28"/>
  <c r="G57" i="28"/>
  <c r="G59" i="28"/>
  <c r="P58" i="28"/>
  <c r="P54" i="28"/>
  <c r="P62" i="28"/>
  <c r="P53" i="22"/>
  <c r="J363" i="22"/>
  <c r="A53" i="22"/>
  <c r="J364" i="25"/>
  <c r="J365" i="25" s="1"/>
  <c r="J366" i="25" s="1"/>
  <c r="J367" i="25" s="1"/>
  <c r="J368" i="25" s="1"/>
  <c r="J369" i="25" s="1"/>
  <c r="J370" i="25" s="1"/>
  <c r="J371" i="25" s="1"/>
  <c r="P54" i="25"/>
  <c r="G58" i="28"/>
  <c r="P56" i="28"/>
  <c r="P53" i="28"/>
  <c r="W264" i="26"/>
  <c r="AA264" i="26"/>
  <c r="AA265" i="22"/>
  <c r="Y264" i="26"/>
  <c r="AM264" i="26"/>
  <c r="DL264" i="26" s="1"/>
  <c r="AW265" i="26"/>
  <c r="P265" i="26"/>
  <c r="BC265" i="26" s="1"/>
  <c r="A254" i="27"/>
  <c r="E254" i="27"/>
  <c r="AH265" i="26"/>
  <c r="AJ265" i="26" s="1"/>
  <c r="AC265" i="22"/>
  <c r="S264" i="26"/>
  <c r="R265" i="26"/>
  <c r="W265" i="26" s="1"/>
  <c r="AC264" i="26"/>
  <c r="AQ264" i="26"/>
  <c r="E254" i="23"/>
  <c r="A254" i="23"/>
  <c r="P53" i="3"/>
  <c r="J363" i="3"/>
  <c r="P54" i="3" s="1"/>
  <c r="DL264" i="22"/>
  <c r="AB265" i="22"/>
  <c r="DL264" i="21"/>
  <c r="DL264" i="29"/>
  <c r="DL264" i="23"/>
  <c r="DL264" i="28"/>
  <c r="DL264" i="25"/>
  <c r="DL264" i="24"/>
  <c r="Y265" i="29"/>
  <c r="G28" i="4"/>
  <c r="A237" i="26"/>
  <c r="G217" i="27"/>
  <c r="E227" i="25"/>
  <c r="G217" i="26"/>
  <c r="AM265" i="21"/>
  <c r="DL265" i="21" s="1"/>
  <c r="W265" i="21"/>
  <c r="U265" i="21"/>
  <c r="X265" i="21"/>
  <c r="AQ265" i="21"/>
  <c r="S265" i="21"/>
  <c r="AA265" i="21"/>
  <c r="Y265" i="21"/>
  <c r="AC265" i="21"/>
  <c r="AB265" i="21"/>
  <c r="AM265" i="23"/>
  <c r="DL265" i="23" s="1"/>
  <c r="U265" i="23"/>
  <c r="X265" i="23"/>
  <c r="W265" i="23"/>
  <c r="S265" i="23"/>
  <c r="AQ265" i="23"/>
  <c r="AC265" i="23"/>
  <c r="Y265" i="23"/>
  <c r="AA265" i="23"/>
  <c r="AH266" i="3"/>
  <c r="AJ266" i="3" s="1"/>
  <c r="A267" i="3"/>
  <c r="R266" i="3"/>
  <c r="AW266" i="3"/>
  <c r="P266" i="3"/>
  <c r="BC266" i="3" s="1"/>
  <c r="AM265" i="25"/>
  <c r="DL265" i="25" s="1"/>
  <c r="W265" i="25"/>
  <c r="U265" i="25"/>
  <c r="X265" i="25"/>
  <c r="S265" i="25"/>
  <c r="AQ265" i="25"/>
  <c r="AB265" i="25"/>
  <c r="AC265" i="25"/>
  <c r="AA265" i="25"/>
  <c r="Y265" i="25"/>
  <c r="R266" i="28"/>
  <c r="AH266" i="28"/>
  <c r="AJ266" i="28" s="1"/>
  <c r="A267" i="28"/>
  <c r="P266" i="28"/>
  <c r="BC266" i="28" s="1"/>
  <c r="AW266" i="28"/>
  <c r="AM265" i="3"/>
  <c r="DL265" i="3" s="1"/>
  <c r="U265" i="3"/>
  <c r="W265" i="3"/>
  <c r="X265" i="3"/>
  <c r="S265" i="3"/>
  <c r="AQ265" i="3"/>
  <c r="AH265" i="19"/>
  <c r="AJ265" i="19" s="1"/>
  <c r="A266" i="19"/>
  <c r="R265" i="19"/>
  <c r="P265" i="19"/>
  <c r="BC265" i="19" s="1"/>
  <c r="AW265" i="19"/>
  <c r="AM265" i="29"/>
  <c r="DL265" i="29" s="1"/>
  <c r="W265" i="29"/>
  <c r="U265" i="29"/>
  <c r="X265" i="29"/>
  <c r="S265" i="29"/>
  <c r="AQ265" i="29"/>
  <c r="AJ264" i="19"/>
  <c r="AN263" i="19"/>
  <c r="R266" i="29"/>
  <c r="AH266" i="29"/>
  <c r="AJ266" i="29" s="1"/>
  <c r="A267" i="29"/>
  <c r="P266" i="29"/>
  <c r="BC266" i="29" s="1"/>
  <c r="AW266" i="29"/>
  <c r="AM265" i="28"/>
  <c r="DL265" i="28" s="1"/>
  <c r="U265" i="28"/>
  <c r="X265" i="28"/>
  <c r="W265" i="28"/>
  <c r="AQ265" i="28"/>
  <c r="S265" i="28"/>
  <c r="U265" i="20"/>
  <c r="X265" i="20"/>
  <c r="S265" i="20"/>
  <c r="AM265" i="27"/>
  <c r="DL265" i="27" s="1"/>
  <c r="AQ265" i="27"/>
  <c r="S265" i="27"/>
  <c r="W265" i="27"/>
  <c r="U265" i="27"/>
  <c r="X265" i="27"/>
  <c r="AM264" i="19"/>
  <c r="DL264" i="19" s="1"/>
  <c r="AQ264" i="19"/>
  <c r="U264" i="19"/>
  <c r="X264" i="19"/>
  <c r="W264" i="19"/>
  <c r="S264" i="19"/>
  <c r="AM265" i="22"/>
  <c r="DL265" i="22" s="1"/>
  <c r="U265" i="22"/>
  <c r="X265" i="22"/>
  <c r="W265" i="22"/>
  <c r="AQ265" i="22"/>
  <c r="S265" i="22"/>
  <c r="AM265" i="24"/>
  <c r="DL265" i="24" s="1"/>
  <c r="U265" i="24"/>
  <c r="X265" i="24"/>
  <c r="W265" i="24"/>
  <c r="AQ265" i="24"/>
  <c r="S265" i="24"/>
  <c r="R266" i="21"/>
  <c r="AH266" i="21"/>
  <c r="AJ266" i="21" s="1"/>
  <c r="A267" i="21"/>
  <c r="P266" i="21"/>
  <c r="BC266" i="21" s="1"/>
  <c r="AW266" i="21"/>
  <c r="R266" i="20"/>
  <c r="AH266" i="20"/>
  <c r="AJ266" i="20" s="1"/>
  <c r="A267" i="20"/>
  <c r="P266" i="20"/>
  <c r="BC266" i="20" s="1"/>
  <c r="AW266" i="20"/>
  <c r="R266" i="27"/>
  <c r="AH266" i="27"/>
  <c r="AJ266" i="27" s="1"/>
  <c r="P266" i="27"/>
  <c r="BC266" i="27" s="1"/>
  <c r="A267" i="27"/>
  <c r="AW266" i="27"/>
  <c r="R266" i="22"/>
  <c r="AH266" i="22"/>
  <c r="AJ266" i="22" s="1"/>
  <c r="A267" i="22"/>
  <c r="AW266" i="22"/>
  <c r="P266" i="22"/>
  <c r="BC266" i="22" s="1"/>
  <c r="A267" i="25"/>
  <c r="R266" i="25"/>
  <c r="AH266" i="25"/>
  <c r="AJ266" i="25" s="1"/>
  <c r="P266" i="25"/>
  <c r="BC266" i="25" s="1"/>
  <c r="AW266" i="25"/>
  <c r="R266" i="26"/>
  <c r="AH266" i="26"/>
  <c r="AJ266" i="26" s="1"/>
  <c r="A267" i="26"/>
  <c r="P266" i="26"/>
  <c r="BC266" i="26" s="1"/>
  <c r="AW266" i="26"/>
  <c r="AH266" i="23"/>
  <c r="AJ266" i="23" s="1"/>
  <c r="A267" i="23"/>
  <c r="R266" i="23"/>
  <c r="AW266" i="23"/>
  <c r="P266" i="23"/>
  <c r="BC266" i="23" s="1"/>
  <c r="R266" i="24"/>
  <c r="AH266" i="24"/>
  <c r="AJ266" i="24" s="1"/>
  <c r="A267" i="24"/>
  <c r="P266" i="24"/>
  <c r="BC266" i="24" s="1"/>
  <c r="AW266" i="24"/>
  <c r="E237" i="26"/>
  <c r="M389" i="19"/>
  <c r="G237" i="29"/>
  <c r="E237" i="29"/>
  <c r="A237" i="29"/>
  <c r="E227" i="19"/>
  <c r="E227" i="23"/>
  <c r="G237" i="24"/>
  <c r="A237" i="24"/>
  <c r="E237" i="24"/>
  <c r="E238" i="28"/>
  <c r="A238" i="28"/>
  <c r="E227" i="29"/>
  <c r="A238" i="27"/>
  <c r="E238" i="27"/>
  <c r="E228" i="19"/>
  <c r="A228" i="19"/>
  <c r="G217" i="29"/>
  <c r="A218" i="26"/>
  <c r="E218" i="26"/>
  <c r="G237" i="28"/>
  <c r="E237" i="28"/>
  <c r="A237" i="28"/>
  <c r="G237" i="27"/>
  <c r="A237" i="27"/>
  <c r="E237" i="27"/>
  <c r="A218" i="22"/>
  <c r="E218" i="22"/>
  <c r="E218" i="29"/>
  <c r="A218" i="29"/>
  <c r="E228" i="29"/>
  <c r="A228" i="29"/>
  <c r="E238" i="24"/>
  <c r="A238" i="24"/>
  <c r="A238" i="29"/>
  <c r="E238" i="29"/>
  <c r="G217" i="20"/>
  <c r="G237" i="25"/>
  <c r="E237" i="25"/>
  <c r="A237" i="25"/>
  <c r="E238" i="22"/>
  <c r="A238" i="22"/>
  <c r="G237" i="22"/>
  <c r="A237" i="22"/>
  <c r="E237" i="22"/>
  <c r="A218" i="20"/>
  <c r="E218" i="20"/>
  <c r="E238" i="25"/>
  <c r="A238" i="25"/>
  <c r="A218" i="28"/>
  <c r="E218" i="28"/>
  <c r="E228" i="24"/>
  <c r="A228" i="24"/>
  <c r="A228" i="26"/>
  <c r="E228" i="26"/>
  <c r="E227" i="26"/>
  <c r="A238" i="20"/>
  <c r="E238" i="20"/>
  <c r="A228" i="22"/>
  <c r="E228" i="22"/>
  <c r="G237" i="21"/>
  <c r="A237" i="21"/>
  <c r="E237" i="21"/>
  <c r="G237" i="23"/>
  <c r="A237" i="23"/>
  <c r="E237" i="23"/>
  <c r="E227" i="21"/>
  <c r="E218" i="27"/>
  <c r="A218" i="27"/>
  <c r="E228" i="28"/>
  <c r="A228" i="28"/>
  <c r="A218" i="21"/>
  <c r="E218" i="21"/>
  <c r="A218" i="24"/>
  <c r="E218" i="24"/>
  <c r="G217" i="25"/>
  <c r="E238" i="26"/>
  <c r="A238" i="26"/>
  <c r="E227" i="27"/>
  <c r="E227" i="24"/>
  <c r="G217" i="24"/>
  <c r="A237" i="20"/>
  <c r="E237" i="20"/>
  <c r="A218" i="25"/>
  <c r="E218" i="25"/>
  <c r="E227" i="22"/>
  <c r="C45" i="18"/>
  <c r="M389" i="3"/>
  <c r="E227" i="28"/>
  <c r="G217" i="28"/>
  <c r="G217" i="21"/>
  <c r="A228" i="20"/>
  <c r="E228" i="20"/>
  <c r="E227" i="20"/>
  <c r="A238" i="21"/>
  <c r="E238" i="21"/>
  <c r="A228" i="27"/>
  <c r="E228" i="27"/>
  <c r="A228" i="21"/>
  <c r="E228" i="21"/>
  <c r="G217" i="23"/>
  <c r="E218" i="19"/>
  <c r="A218" i="19"/>
  <c r="G217" i="19"/>
  <c r="G237" i="19"/>
  <c r="E237" i="19"/>
  <c r="A237" i="19"/>
  <c r="A228" i="3"/>
  <c r="E228" i="3"/>
  <c r="A238" i="3"/>
  <c r="E238" i="3"/>
  <c r="G237" i="3"/>
  <c r="A237" i="3"/>
  <c r="E237" i="3"/>
  <c r="A238" i="19"/>
  <c r="E238" i="19"/>
  <c r="E227" i="3"/>
  <c r="AA242" i="26"/>
  <c r="D300" i="19"/>
  <c r="AE236" i="27"/>
  <c r="A303" i="25"/>
  <c r="AC150" i="21"/>
  <c r="AE238" i="29"/>
  <c r="AE203" i="25"/>
  <c r="G6" i="25"/>
  <c r="AA248" i="23"/>
  <c r="AA222" i="20"/>
  <c r="G17" i="19"/>
  <c r="AC150" i="28"/>
  <c r="AE39" i="25"/>
  <c r="AA242" i="27"/>
  <c r="AC150" i="19"/>
  <c r="H15" i="19"/>
  <c r="D14" i="27"/>
  <c r="AA212" i="23"/>
  <c r="AE232" i="28"/>
  <c r="AE215" i="3"/>
  <c r="AC150" i="27"/>
  <c r="AA248" i="27"/>
  <c r="AE232" i="3"/>
  <c r="AC150" i="24"/>
  <c r="AA222" i="22"/>
  <c r="B299" i="26"/>
  <c r="AE154" i="3"/>
  <c r="AE154" i="22"/>
  <c r="AA370" i="3"/>
  <c r="AE232" i="19"/>
  <c r="AA232" i="25"/>
  <c r="AA211" i="25"/>
  <c r="AC150" i="20"/>
  <c r="AE242" i="26"/>
  <c r="H1" i="22"/>
  <c r="AE248" i="3"/>
  <c r="AF153" i="24"/>
  <c r="C15" i="25"/>
  <c r="AA243" i="21"/>
  <c r="AA212" i="21"/>
  <c r="E306" i="23"/>
  <c r="G15" i="26"/>
  <c r="AE154" i="29"/>
  <c r="A17" i="15"/>
  <c r="AA222" i="26"/>
  <c r="AA222" i="3"/>
  <c r="AA154" i="24"/>
  <c r="AA248" i="24"/>
  <c r="AG154" i="26"/>
  <c r="AA232" i="24"/>
  <c r="AA40" i="25"/>
  <c r="AE222" i="22"/>
  <c r="AA242" i="28"/>
  <c r="AA242" i="29"/>
  <c r="AE210" i="25"/>
  <c r="D307" i="23"/>
  <c r="AF153" i="19"/>
  <c r="AA433" i="23"/>
  <c r="AA222" i="25"/>
  <c r="AE242" i="25"/>
  <c r="AA212" i="19"/>
  <c r="AA419" i="19"/>
  <c r="AA37" i="27"/>
  <c r="AA232" i="29"/>
  <c r="AA318" i="3"/>
  <c r="A1" i="15"/>
  <c r="A19" i="21"/>
  <c r="AA372" i="24"/>
  <c r="AA154" i="22"/>
  <c r="AE232" i="24"/>
  <c r="AA212" i="20"/>
  <c r="AA222" i="27"/>
  <c r="AA173" i="26"/>
  <c r="AA232" i="3"/>
  <c r="AA232" i="28"/>
  <c r="AB375" i="26"/>
  <c r="AA212" i="22"/>
  <c r="AA232" i="20"/>
  <c r="AA229" i="26"/>
  <c r="A24" i="17"/>
  <c r="AA232" i="22"/>
  <c r="AA222" i="28"/>
  <c r="AC150" i="23"/>
  <c r="E306" i="24"/>
  <c r="AA402" i="25"/>
  <c r="AE154" i="27"/>
  <c r="AA243" i="25"/>
  <c r="AA222" i="23"/>
  <c r="AA378" i="27"/>
  <c r="AA239" i="27"/>
  <c r="AA154" i="25"/>
  <c r="G18" i="3"/>
  <c r="AA242" i="20"/>
  <c r="AA242" i="23"/>
  <c r="AA20" i="20"/>
  <c r="C10" i="14"/>
  <c r="AE210" i="27"/>
  <c r="D307" i="28"/>
  <c r="AG314" i="29"/>
  <c r="A19" i="29"/>
  <c r="AE232" i="29"/>
  <c r="AA172" i="25"/>
  <c r="AF153" i="23"/>
  <c r="AA212" i="28"/>
  <c r="D18" i="22"/>
  <c r="AA165" i="22"/>
  <c r="AA154" i="20"/>
  <c r="AE28" i="25"/>
  <c r="AE203" i="3"/>
  <c r="AE248" i="29"/>
  <c r="A304" i="22"/>
  <c r="AA309" i="25"/>
  <c r="AA451" i="23"/>
  <c r="G13" i="22"/>
  <c r="AA199" i="28"/>
  <c r="AA248" i="20"/>
  <c r="AA154" i="28"/>
  <c r="AE242" i="20"/>
  <c r="AA212" i="26"/>
  <c r="AF153" i="29"/>
  <c r="AE248" i="19"/>
  <c r="AA232" i="26"/>
  <c r="E307" i="3"/>
  <c r="AE248" i="25"/>
  <c r="AE43" i="29"/>
  <c r="AA243" i="19"/>
  <c r="I46" i="3"/>
  <c r="AA444" i="27"/>
  <c r="AE221" i="24"/>
  <c r="AA243" i="28"/>
  <c r="AE242" i="28"/>
  <c r="E306" i="3"/>
  <c r="AE27" i="20"/>
  <c r="AC150" i="26"/>
  <c r="D305" i="27"/>
  <c r="AE242" i="3"/>
  <c r="AA248" i="29"/>
  <c r="AF153" i="27"/>
  <c r="AA375" i="23"/>
  <c r="AA154" i="26"/>
  <c r="AA222" i="21"/>
  <c r="G62" i="4"/>
  <c r="AE232" i="27"/>
  <c r="AE248" i="24"/>
  <c r="AE222" i="23"/>
  <c r="AA240" i="27"/>
  <c r="AC150" i="29"/>
  <c r="AA242" i="19"/>
  <c r="AE231" i="28"/>
  <c r="AA33" i="26"/>
  <c r="AA166" i="3"/>
  <c r="AA309" i="22"/>
  <c r="A24" i="4"/>
  <c r="AE154" i="24"/>
  <c r="AE222" i="21"/>
  <c r="AE215" i="21"/>
  <c r="AE248" i="21"/>
  <c r="I262" i="27"/>
  <c r="AE222" i="24"/>
  <c r="AA183" i="26"/>
  <c r="A307" i="27"/>
  <c r="AA410" i="24"/>
  <c r="AF161" i="19"/>
  <c r="AE242" i="22"/>
  <c r="AF153" i="21"/>
  <c r="AE204" i="26"/>
  <c r="AA154" i="23"/>
  <c r="AA248" i="22"/>
  <c r="AA409" i="26"/>
  <c r="AA417" i="23"/>
  <c r="AE248" i="22"/>
  <c r="AE232" i="26"/>
  <c r="AE154" i="19"/>
  <c r="AE218" i="21"/>
  <c r="AE41" i="20"/>
  <c r="A307" i="25"/>
  <c r="AA232" i="19"/>
  <c r="E300" i="24"/>
  <c r="AA242" i="24"/>
  <c r="AE29" i="19"/>
  <c r="AE222" i="19"/>
  <c r="AA222" i="24"/>
  <c r="AA248" i="19"/>
  <c r="AA232" i="27"/>
  <c r="AC150" i="22"/>
  <c r="AE232" i="22"/>
  <c r="D18" i="29"/>
  <c r="AA402" i="24"/>
  <c r="AA243" i="22"/>
  <c r="AA243" i="20"/>
  <c r="I146" i="29"/>
  <c r="AA242" i="22"/>
  <c r="AA242" i="25"/>
  <c r="AA243" i="26"/>
  <c r="AA154" i="19"/>
  <c r="AE248" i="20"/>
  <c r="AF153" i="22"/>
  <c r="AG372" i="29"/>
  <c r="AE154" i="26"/>
  <c r="AE154" i="28"/>
  <c r="AA212" i="3"/>
  <c r="AA212" i="25"/>
  <c r="AG314" i="23"/>
  <c r="AA212" i="29"/>
  <c r="B77" i="4"/>
  <c r="AA447" i="21"/>
  <c r="AA242" i="3"/>
  <c r="AE222" i="3"/>
  <c r="B299" i="23"/>
  <c r="A299" i="22"/>
  <c r="AE242" i="19"/>
  <c r="AA243" i="23"/>
  <c r="AA248" i="3"/>
  <c r="AE154" i="25"/>
  <c r="AA371" i="21"/>
  <c r="E18" i="21"/>
  <c r="H17" i="3"/>
  <c r="E305" i="22"/>
  <c r="AE248" i="27"/>
  <c r="AA375" i="20"/>
  <c r="AF153" i="20"/>
  <c r="AA222" i="29"/>
  <c r="A295" i="28"/>
  <c r="AA154" i="21"/>
  <c r="AE215" i="19"/>
  <c r="AE242" i="29"/>
  <c r="AE23" i="24"/>
  <c r="AA44" i="28"/>
  <c r="AC375" i="29"/>
  <c r="C301" i="27"/>
  <c r="E303" i="23"/>
  <c r="AE204" i="25"/>
  <c r="A298" i="29"/>
  <c r="AE222" i="28"/>
  <c r="AE41" i="3"/>
  <c r="AE232" i="25"/>
  <c r="A25" i="14"/>
  <c r="AE242" i="27"/>
  <c r="I18" i="20"/>
  <c r="D61" i="4"/>
  <c r="AA151" i="22"/>
  <c r="AE222" i="26"/>
  <c r="AE43" i="28"/>
  <c r="AE232" i="23"/>
  <c r="AA154" i="29"/>
  <c r="AA222" i="19"/>
  <c r="A16" i="14"/>
  <c r="AE154" i="23"/>
  <c r="AB375" i="19"/>
  <c r="AA212" i="24"/>
  <c r="AE154" i="21"/>
  <c r="AA232" i="21"/>
  <c r="AG154" i="22"/>
  <c r="AA232" i="23"/>
  <c r="AE35" i="19"/>
  <c r="AA235" i="21"/>
  <c r="AJ151" i="20"/>
  <c r="AA229" i="19"/>
  <c r="B5" i="25"/>
  <c r="AC150" i="25"/>
  <c r="AA248" i="28"/>
  <c r="AA243" i="24"/>
  <c r="AA218" i="27"/>
  <c r="AA322" i="29"/>
  <c r="AA34" i="29"/>
  <c r="AA410" i="23"/>
  <c r="AA154" i="27"/>
  <c r="AF153" i="25"/>
  <c r="AA212" i="27"/>
  <c r="E304" i="19"/>
  <c r="AF153" i="28"/>
  <c r="AE222" i="20"/>
  <c r="D16" i="3"/>
  <c r="AE222" i="25"/>
  <c r="AA166" i="27"/>
  <c r="AA242" i="21"/>
  <c r="AE232" i="20"/>
  <c r="AE248" i="26"/>
  <c r="AA457" i="3"/>
  <c r="AE248" i="23"/>
  <c r="AE242" i="21"/>
  <c r="A48" i="4"/>
  <c r="AA243" i="3"/>
  <c r="AA409" i="25"/>
  <c r="AA438" i="20"/>
  <c r="AE237" i="26"/>
  <c r="AG151" i="20"/>
  <c r="AE33" i="25"/>
  <c r="AE222" i="27"/>
  <c r="AE242" i="24"/>
  <c r="AA243" i="27"/>
  <c r="AE154" i="20"/>
  <c r="AF153" i="26"/>
  <c r="D14" i="15"/>
  <c r="AE242" i="23"/>
  <c r="AA243" i="29"/>
  <c r="AC150" i="3"/>
  <c r="AE248" i="28"/>
  <c r="G16" i="19"/>
  <c r="AA154" i="3"/>
  <c r="AA158" i="24"/>
  <c r="AA185" i="29"/>
  <c r="AE232" i="21"/>
  <c r="E299" i="24"/>
  <c r="AA248" i="25"/>
  <c r="AF33" i="20"/>
  <c r="AA248" i="21"/>
  <c r="G18" i="19"/>
  <c r="H13" i="3"/>
  <c r="AF153" i="3"/>
  <c r="AE222" i="29"/>
  <c r="AA248" i="26"/>
  <c r="W265" i="20" l="1"/>
  <c r="Y265" i="20"/>
  <c r="G151" i="20"/>
  <c r="E150" i="23"/>
  <c r="F153" i="28"/>
  <c r="A318" i="3"/>
  <c r="A243" i="26"/>
  <c r="E150" i="26"/>
  <c r="A438" i="20"/>
  <c r="A243" i="23"/>
  <c r="A243" i="22"/>
  <c r="O248" i="28"/>
  <c r="A248" i="28" s="1"/>
  <c r="A378" i="27"/>
  <c r="A154" i="22"/>
  <c r="O154" i="22"/>
  <c r="E154" i="22" s="1"/>
  <c r="E150" i="27"/>
  <c r="O154" i="19"/>
  <c r="E154" i="19" s="1"/>
  <c r="A154" i="19"/>
  <c r="E150" i="25"/>
  <c r="A243" i="27"/>
  <c r="A447" i="21"/>
  <c r="O154" i="23"/>
  <c r="E154" i="23" s="1"/>
  <c r="A154" i="23"/>
  <c r="F153" i="3"/>
  <c r="O248" i="29"/>
  <c r="A248" i="29" s="1"/>
  <c r="O248" i="24"/>
  <c r="A248" i="24" s="1"/>
  <c r="A371" i="21"/>
  <c r="A62" i="21" s="1"/>
  <c r="A65" i="15"/>
  <c r="A212" i="20"/>
  <c r="A402" i="24"/>
  <c r="F153" i="22"/>
  <c r="A212" i="23"/>
  <c r="E150" i="3"/>
  <c r="A212" i="27"/>
  <c r="A410" i="24"/>
  <c r="E150" i="28"/>
  <c r="A212" i="26"/>
  <c r="A212" i="24"/>
  <c r="A402" i="25"/>
  <c r="A417" i="23"/>
  <c r="O211" i="25"/>
  <c r="A211" i="25" s="1"/>
  <c r="F153" i="21"/>
  <c r="J151" i="20"/>
  <c r="A154" i="29"/>
  <c r="O154" i="29"/>
  <c r="E154" i="29" s="1"/>
  <c r="F153" i="26"/>
  <c r="O248" i="21"/>
  <c r="A248" i="21" s="1"/>
  <c r="A212" i="3"/>
  <c r="A154" i="21"/>
  <c r="O154" i="21"/>
  <c r="E154" i="21" s="1"/>
  <c r="A154" i="26"/>
  <c r="O154" i="26"/>
  <c r="G154" i="26" s="1"/>
  <c r="A212" i="28"/>
  <c r="A154" i="28"/>
  <c r="O154" i="28"/>
  <c r="E154" i="28" s="1"/>
  <c r="E150" i="21"/>
  <c r="F153" i="20"/>
  <c r="A243" i="3"/>
  <c r="A243" i="19"/>
  <c r="E150" i="24"/>
  <c r="C67" i="31"/>
  <c r="A41" i="15"/>
  <c r="G314" i="29"/>
  <c r="O154" i="25"/>
  <c r="E154" i="25" s="1"/>
  <c r="A154" i="25"/>
  <c r="A212" i="22"/>
  <c r="A20" i="20"/>
  <c r="A243" i="29"/>
  <c r="O248" i="27"/>
  <c r="A248" i="27" s="1"/>
  <c r="G372" i="29"/>
  <c r="O248" i="19"/>
  <c r="E248" i="19" s="1"/>
  <c r="F153" i="24"/>
  <c r="A212" i="19"/>
  <c r="E150" i="29"/>
  <c r="O154" i="20"/>
  <c r="E154" i="20" s="1"/>
  <c r="A154" i="20"/>
  <c r="A451" i="23"/>
  <c r="A243" i="25"/>
  <c r="A309" i="22"/>
  <c r="A433" i="23"/>
  <c r="F153" i="23"/>
  <c r="A154" i="3"/>
  <c r="O154" i="3"/>
  <c r="E154" i="3" s="1"/>
  <c r="A243" i="21"/>
  <c r="A409" i="26"/>
  <c r="A372" i="24"/>
  <c r="A243" i="24"/>
  <c r="O151" i="22"/>
  <c r="A151" i="22"/>
  <c r="A212" i="21"/>
  <c r="O248" i="25"/>
  <c r="A248" i="25" s="1"/>
  <c r="A419" i="19"/>
  <c r="A154" i="27"/>
  <c r="O154" i="27"/>
  <c r="E154" i="27" s="1"/>
  <c r="F153" i="25"/>
  <c r="F153" i="29"/>
  <c r="O248" i="23"/>
  <c r="A248" i="23" s="1"/>
  <c r="A199" i="28"/>
  <c r="O199" i="28"/>
  <c r="O248" i="3"/>
  <c r="E248" i="3" s="1"/>
  <c r="A457" i="3"/>
  <c r="F153" i="27"/>
  <c r="A212" i="25"/>
  <c r="A243" i="20"/>
  <c r="F153" i="19"/>
  <c r="A212" i="29"/>
  <c r="A309" i="25"/>
  <c r="A410" i="23"/>
  <c r="O248" i="26"/>
  <c r="E248" i="26" s="1"/>
  <c r="E150" i="22"/>
  <c r="E150" i="19"/>
  <c r="O248" i="20"/>
  <c r="A248" i="20" s="1"/>
  <c r="O248" i="22"/>
  <c r="E248" i="22" s="1"/>
  <c r="A243" i="28"/>
  <c r="E150" i="20"/>
  <c r="A370" i="3"/>
  <c r="G314" i="23"/>
  <c r="A444" i="27"/>
  <c r="A409" i="25"/>
  <c r="A154" i="24"/>
  <c r="O154" i="24"/>
  <c r="E154" i="24" s="1"/>
  <c r="X265" i="26"/>
  <c r="U265" i="26"/>
  <c r="S265" i="26"/>
  <c r="AQ265" i="20"/>
  <c r="AM265" i="20"/>
  <c r="DL265" i="20" s="1"/>
  <c r="CH297" i="22"/>
  <c r="CH297" i="3"/>
  <c r="CH297" i="19"/>
  <c r="CH297" i="21"/>
  <c r="CH297" i="29"/>
  <c r="CH297" i="23"/>
  <c r="CH297" i="24"/>
  <c r="CH297" i="28"/>
  <c r="CH297" i="25"/>
  <c r="CH297" i="26"/>
  <c r="CH297" i="27"/>
  <c r="CH297" i="20"/>
  <c r="CI297" i="22"/>
  <c r="CI297" i="3"/>
  <c r="CI297" i="19"/>
  <c r="CI297" i="20"/>
  <c r="CI297" i="29"/>
  <c r="CI297" i="23"/>
  <c r="CI297" i="24"/>
  <c r="CI297" i="28"/>
  <c r="CI297" i="25"/>
  <c r="CI297" i="26"/>
  <c r="CI297" i="27"/>
  <c r="CI297" i="21"/>
  <c r="CA297" i="25"/>
  <c r="CA296" i="29"/>
  <c r="CA296" i="21"/>
  <c r="CA296" i="28"/>
  <c r="CA296" i="20"/>
  <c r="CA297" i="24"/>
  <c r="CA296" i="27"/>
  <c r="CA296" i="19"/>
  <c r="CA297" i="23"/>
  <c r="CA296" i="26"/>
  <c r="CA297" i="3"/>
  <c r="CA297" i="22"/>
  <c r="CA296" i="25"/>
  <c r="CA297" i="29"/>
  <c r="CA297" i="21"/>
  <c r="CA296" i="24"/>
  <c r="CA297" i="28"/>
  <c r="CA297" i="20"/>
  <c r="CA296" i="23"/>
  <c r="CA297" i="27"/>
  <c r="CA297" i="19"/>
  <c r="CA296" i="3"/>
  <c r="CA296" i="22"/>
  <c r="CA297" i="26"/>
  <c r="CF297" i="19"/>
  <c r="CF297" i="27"/>
  <c r="CF297" i="20"/>
  <c r="CF297" i="28"/>
  <c r="CF297" i="26"/>
  <c r="CF297" i="21"/>
  <c r="CF297" i="29"/>
  <c r="CF297" i="22"/>
  <c r="CF297" i="3"/>
  <c r="CF297" i="23"/>
  <c r="CF297" i="24"/>
  <c r="CF297" i="25"/>
  <c r="CF296" i="20"/>
  <c r="CF296" i="28"/>
  <c r="CF296" i="21"/>
  <c r="CF296" i="29"/>
  <c r="CF296" i="26"/>
  <c r="CF296" i="19"/>
  <c r="CF296" i="27"/>
  <c r="CF296" i="22"/>
  <c r="CF296" i="3"/>
  <c r="CF296" i="23"/>
  <c r="CF296" i="24"/>
  <c r="CF296" i="25"/>
  <c r="A232" i="23"/>
  <c r="E232" i="23"/>
  <c r="E222" i="23"/>
  <c r="A222" i="23"/>
  <c r="P169" i="19"/>
  <c r="AC265" i="20"/>
  <c r="AB265" i="20"/>
  <c r="A242" i="29"/>
  <c r="E242" i="29"/>
  <c r="E242" i="3"/>
  <c r="A242" i="3"/>
  <c r="E242" i="20"/>
  <c r="A242" i="20"/>
  <c r="E242" i="26"/>
  <c r="A242" i="26"/>
  <c r="A242" i="19"/>
  <c r="E242" i="19"/>
  <c r="A242" i="28"/>
  <c r="E242" i="28"/>
  <c r="E242" i="24"/>
  <c r="A242" i="24"/>
  <c r="A242" i="21"/>
  <c r="E242" i="21"/>
  <c r="A242" i="27"/>
  <c r="E242" i="27"/>
  <c r="E242" i="22"/>
  <c r="A242" i="22"/>
  <c r="E242" i="25"/>
  <c r="A242" i="25"/>
  <c r="E242" i="23"/>
  <c r="A242" i="23"/>
  <c r="E248" i="21"/>
  <c r="A248" i="26"/>
  <c r="D320" i="19"/>
  <c r="P320" i="19" s="1"/>
  <c r="D318" i="28"/>
  <c r="P318" i="28" s="1"/>
  <c r="D320" i="28"/>
  <c r="E320" i="28" s="1"/>
  <c r="D322" i="22"/>
  <c r="P322" i="22" s="1"/>
  <c r="D325" i="21"/>
  <c r="P325" i="21" s="1"/>
  <c r="D321" i="25"/>
  <c r="E321" i="25" s="1"/>
  <c r="D317" i="20"/>
  <c r="E317" i="20" s="1"/>
  <c r="A15" i="3"/>
  <c r="D328" i="25"/>
  <c r="E328" i="25" s="1"/>
  <c r="D327" i="21"/>
  <c r="E327" i="21" s="1"/>
  <c r="D329" i="25"/>
  <c r="P329" i="25" s="1"/>
  <c r="D317" i="21"/>
  <c r="P317" i="21" s="1"/>
  <c r="D323" i="19"/>
  <c r="E323" i="19" s="1"/>
  <c r="D328" i="19"/>
  <c r="E328" i="19" s="1"/>
  <c r="D329" i="27"/>
  <c r="E329" i="27" s="1"/>
  <c r="D323" i="26"/>
  <c r="E323" i="26" s="1"/>
  <c r="D320" i="24"/>
  <c r="P320" i="24" s="1"/>
  <c r="I25" i="20"/>
  <c r="P29" i="20" s="1"/>
  <c r="A7" i="3"/>
  <c r="A5" i="26"/>
  <c r="A17" i="23"/>
  <c r="A5" i="24"/>
  <c r="A17" i="29"/>
  <c r="A5" i="28"/>
  <c r="F5" i="3"/>
  <c r="Q318" i="22"/>
  <c r="C318" i="22" s="1"/>
  <c r="F6" i="28"/>
  <c r="A14" i="29"/>
  <c r="D318" i="19"/>
  <c r="P318" i="19" s="1"/>
  <c r="D317" i="19"/>
  <c r="E317" i="19" s="1"/>
  <c r="A5" i="27"/>
  <c r="E316" i="29"/>
  <c r="D323" i="29"/>
  <c r="E323" i="29" s="1"/>
  <c r="D328" i="24"/>
  <c r="E328" i="24" s="1"/>
  <c r="D315" i="24"/>
  <c r="E315" i="24" s="1"/>
  <c r="D326" i="26"/>
  <c r="E326" i="26" s="1"/>
  <c r="D321" i="29"/>
  <c r="P321" i="29" s="1"/>
  <c r="D315" i="23"/>
  <c r="P315" i="23" s="1"/>
  <c r="D316" i="22"/>
  <c r="P316" i="22" s="1"/>
  <c r="I25" i="27"/>
  <c r="G301" i="27" s="1"/>
  <c r="D319" i="29"/>
  <c r="P319" i="29" s="1"/>
  <c r="D317" i="26"/>
  <c r="E317" i="26" s="1"/>
  <c r="D318" i="26"/>
  <c r="P318" i="26" s="1"/>
  <c r="D329" i="26"/>
  <c r="P329" i="26" s="1"/>
  <c r="D319" i="19"/>
  <c r="E319" i="19" s="1"/>
  <c r="D320" i="21"/>
  <c r="E320" i="21" s="1"/>
  <c r="D327" i="24"/>
  <c r="E327" i="24" s="1"/>
  <c r="F7" i="20"/>
  <c r="F6" i="26"/>
  <c r="D315" i="20"/>
  <c r="E315" i="20" s="1"/>
  <c r="F6" i="21"/>
  <c r="A6" i="29"/>
  <c r="D326" i="24"/>
  <c r="E326" i="24" s="1"/>
  <c r="F7" i="27"/>
  <c r="A16" i="22"/>
  <c r="A7" i="26"/>
  <c r="D317" i="25"/>
  <c r="E317" i="25" s="1"/>
  <c r="D327" i="27"/>
  <c r="E327" i="27" s="1"/>
  <c r="D322" i="21"/>
  <c r="P322" i="21" s="1"/>
  <c r="D322" i="26"/>
  <c r="E322" i="26" s="1"/>
  <c r="D323" i="24"/>
  <c r="P323" i="24" s="1"/>
  <c r="D328" i="21"/>
  <c r="P328" i="21" s="1"/>
  <c r="D321" i="24"/>
  <c r="E321" i="24" s="1"/>
  <c r="D329" i="19"/>
  <c r="E329" i="19" s="1"/>
  <c r="D319" i="24"/>
  <c r="P319" i="24" s="1"/>
  <c r="D327" i="29"/>
  <c r="P327" i="29" s="1"/>
  <c r="D328" i="28"/>
  <c r="E328" i="28" s="1"/>
  <c r="D325" i="22"/>
  <c r="E325" i="22" s="1"/>
  <c r="D318" i="29"/>
  <c r="E318" i="29" s="1"/>
  <c r="D317" i="22"/>
  <c r="P317" i="22" s="1"/>
  <c r="D321" i="19"/>
  <c r="P321" i="19" s="1"/>
  <c r="D327" i="19"/>
  <c r="E327" i="19" s="1"/>
  <c r="D319" i="26"/>
  <c r="P319" i="26" s="1"/>
  <c r="D316" i="28"/>
  <c r="E316" i="28" s="1"/>
  <c r="D323" i="20"/>
  <c r="P323" i="20" s="1"/>
  <c r="D316" i="26"/>
  <c r="P316" i="26" s="1"/>
  <c r="D329" i="20"/>
  <c r="P329" i="20" s="1"/>
  <c r="I25" i="22"/>
  <c r="G301" i="22" s="1"/>
  <c r="D324" i="25"/>
  <c r="P324" i="25" s="1"/>
  <c r="D316" i="25"/>
  <c r="E316" i="25" s="1"/>
  <c r="D328" i="27"/>
  <c r="P328" i="27" s="1"/>
  <c r="D322" i="19"/>
  <c r="E322" i="19" s="1"/>
  <c r="D327" i="28"/>
  <c r="P327" i="28" s="1"/>
  <c r="D315" i="28"/>
  <c r="P315" i="28" s="1"/>
  <c r="D325" i="28"/>
  <c r="P325" i="28" s="1"/>
  <c r="I25" i="26"/>
  <c r="G301" i="26" s="1"/>
  <c r="P230" i="20"/>
  <c r="P240" i="19"/>
  <c r="Q317" i="20"/>
  <c r="C317" i="20" s="1"/>
  <c r="B65" i="4"/>
  <c r="C55" i="31" s="1"/>
  <c r="Q317" i="21"/>
  <c r="C317" i="21" s="1"/>
  <c r="G303" i="26"/>
  <c r="G304" i="29"/>
  <c r="G305" i="26"/>
  <c r="G304" i="21"/>
  <c r="Q318" i="23"/>
  <c r="C318" i="23" s="1"/>
  <c r="Q318" i="19"/>
  <c r="C318" i="19" s="1"/>
  <c r="Q318" i="3"/>
  <c r="C318" i="3" s="1"/>
  <c r="Q318" i="20"/>
  <c r="C318" i="20" s="1"/>
  <c r="Q318" i="26"/>
  <c r="C318" i="26" s="1"/>
  <c r="Q318" i="28"/>
  <c r="C318" i="28" s="1"/>
  <c r="Q318" i="27"/>
  <c r="C318" i="27" s="1"/>
  <c r="Q318" i="25"/>
  <c r="C318" i="25" s="1"/>
  <c r="Q318" i="24"/>
  <c r="C318" i="24" s="1"/>
  <c r="E86" i="31"/>
  <c r="Q318" i="29"/>
  <c r="C318" i="29" s="1"/>
  <c r="Q317" i="23"/>
  <c r="C317" i="23" s="1"/>
  <c r="Q317" i="29"/>
  <c r="C317" i="29" s="1"/>
  <c r="B112" i="4"/>
  <c r="C102" i="31" s="1"/>
  <c r="G305" i="22"/>
  <c r="G305" i="19"/>
  <c r="G303" i="28"/>
  <c r="G303" i="25"/>
  <c r="Q317" i="19"/>
  <c r="C317" i="19" s="1"/>
  <c r="Q317" i="26"/>
  <c r="C317" i="26" s="1"/>
  <c r="B110" i="4"/>
  <c r="C100" i="31" s="1"/>
  <c r="G305" i="27"/>
  <c r="G305" i="20"/>
  <c r="G303" i="29"/>
  <c r="G305" i="29"/>
  <c r="Q317" i="3"/>
  <c r="C317" i="3" s="1"/>
  <c r="B59" i="4"/>
  <c r="C49" i="31" s="1"/>
  <c r="B96" i="4"/>
  <c r="C86" i="31" s="1"/>
  <c r="G304" i="28"/>
  <c r="G303" i="3"/>
  <c r="G303" i="21"/>
  <c r="G303" i="20"/>
  <c r="G305" i="3"/>
  <c r="Q317" i="27"/>
  <c r="C317" i="27" s="1"/>
  <c r="B33" i="4"/>
  <c r="C25" i="31" s="1"/>
  <c r="B45" i="4"/>
  <c r="C37" i="31" s="1"/>
  <c r="G304" i="22"/>
  <c r="G304" i="3"/>
  <c r="G303" i="24"/>
  <c r="G304" i="23"/>
  <c r="G304" i="26"/>
  <c r="Q317" i="28"/>
  <c r="C317" i="28" s="1"/>
  <c r="B52" i="4"/>
  <c r="C44" i="31" s="1"/>
  <c r="B84" i="4"/>
  <c r="C74" i="31" s="1"/>
  <c r="G303" i="19"/>
  <c r="G305" i="23"/>
  <c r="G304" i="24"/>
  <c r="G305" i="28"/>
  <c r="G305" i="24"/>
  <c r="Q317" i="22"/>
  <c r="C317" i="22" s="1"/>
  <c r="B98" i="4"/>
  <c r="C88" i="31" s="1"/>
  <c r="B85" i="4"/>
  <c r="C75" i="31" s="1"/>
  <c r="G305" i="25"/>
  <c r="G304" i="19"/>
  <c r="G303" i="27"/>
  <c r="G303" i="23"/>
  <c r="G304" i="20"/>
  <c r="Q317" i="24"/>
  <c r="C317" i="24" s="1"/>
  <c r="G304" i="27"/>
  <c r="G304" i="25"/>
  <c r="G303" i="22"/>
  <c r="D326" i="25"/>
  <c r="P326" i="25" s="1"/>
  <c r="D317" i="23"/>
  <c r="E317" i="23" s="1"/>
  <c r="D315" i="22"/>
  <c r="E315" i="22" s="1"/>
  <c r="D321" i="27"/>
  <c r="P321" i="27" s="1"/>
  <c r="D324" i="20"/>
  <c r="E324" i="20" s="1"/>
  <c r="D320" i="23"/>
  <c r="P320" i="23" s="1"/>
  <c r="D317" i="27"/>
  <c r="E317" i="27" s="1"/>
  <c r="D322" i="20"/>
  <c r="E322" i="20" s="1"/>
  <c r="D322" i="24"/>
  <c r="P322" i="24" s="1"/>
  <c r="D317" i="29"/>
  <c r="P317" i="29" s="1"/>
  <c r="D325" i="19"/>
  <c r="E325" i="19" s="1"/>
  <c r="D326" i="28"/>
  <c r="E326" i="28" s="1"/>
  <c r="D318" i="27"/>
  <c r="E318" i="27" s="1"/>
  <c r="D323" i="28"/>
  <c r="P323" i="28" s="1"/>
  <c r="D317" i="24"/>
  <c r="E317" i="24" s="1"/>
  <c r="D316" i="21"/>
  <c r="P316" i="21" s="1"/>
  <c r="D320" i="29"/>
  <c r="P320" i="29" s="1"/>
  <c r="D324" i="28"/>
  <c r="E324" i="28" s="1"/>
  <c r="D317" i="3"/>
  <c r="E317" i="3" s="1"/>
  <c r="D329" i="24"/>
  <c r="E329" i="24" s="1"/>
  <c r="D325" i="20"/>
  <c r="P325" i="20" s="1"/>
  <c r="D323" i="27"/>
  <c r="P323" i="27" s="1"/>
  <c r="D319" i="20"/>
  <c r="E319" i="20" s="1"/>
  <c r="D316" i="27"/>
  <c r="P316" i="27" s="1"/>
  <c r="D327" i="25"/>
  <c r="E327" i="25" s="1"/>
  <c r="D326" i="19"/>
  <c r="E326" i="19" s="1"/>
  <c r="D326" i="29"/>
  <c r="P326" i="29" s="1"/>
  <c r="D325" i="25"/>
  <c r="P325" i="25" s="1"/>
  <c r="D324" i="19"/>
  <c r="P324" i="19" s="1"/>
  <c r="D326" i="22"/>
  <c r="P326" i="22" s="1"/>
  <c r="D325" i="27"/>
  <c r="P325" i="27" s="1"/>
  <c r="D318" i="20"/>
  <c r="E318" i="20" s="1"/>
  <c r="D320" i="27"/>
  <c r="E320" i="27" s="1"/>
  <c r="D324" i="26"/>
  <c r="E324" i="26" s="1"/>
  <c r="D317" i="28"/>
  <c r="E317" i="28" s="1"/>
  <c r="D329" i="22"/>
  <c r="E329" i="22" s="1"/>
  <c r="D320" i="20"/>
  <c r="E320" i="20" s="1"/>
  <c r="D322" i="28"/>
  <c r="P322" i="28" s="1"/>
  <c r="D328" i="26"/>
  <c r="P328" i="26" s="1"/>
  <c r="D329" i="28"/>
  <c r="P329" i="28" s="1"/>
  <c r="D325" i="24"/>
  <c r="P325" i="24" s="1"/>
  <c r="D321" i="20"/>
  <c r="E321" i="20" s="1"/>
  <c r="D325" i="29"/>
  <c r="E325" i="29" s="1"/>
  <c r="D326" i="20"/>
  <c r="E326" i="20" s="1"/>
  <c r="D322" i="27"/>
  <c r="E322" i="27" s="1"/>
  <c r="D322" i="25"/>
  <c r="P322" i="25" s="1"/>
  <c r="D325" i="23"/>
  <c r="E325" i="23" s="1"/>
  <c r="D110" i="4"/>
  <c r="E102" i="31" s="1"/>
  <c r="D322" i="23"/>
  <c r="E322" i="23" s="1"/>
  <c r="D323" i="23"/>
  <c r="P323" i="23" s="1"/>
  <c r="D315" i="25"/>
  <c r="P315" i="25" s="1"/>
  <c r="D322" i="29"/>
  <c r="P322" i="29" s="1"/>
  <c r="D323" i="25"/>
  <c r="P323" i="25" s="1"/>
  <c r="I25" i="21"/>
  <c r="P29" i="21" s="1"/>
  <c r="D328" i="23"/>
  <c r="P328" i="23" s="1"/>
  <c r="D316" i="24"/>
  <c r="E316" i="24" s="1"/>
  <c r="D325" i="26"/>
  <c r="E325" i="26" s="1"/>
  <c r="D321" i="22"/>
  <c r="E321" i="22" s="1"/>
  <c r="I25" i="25"/>
  <c r="P30" i="25" s="1"/>
  <c r="D320" i="25"/>
  <c r="P320" i="25" s="1"/>
  <c r="D318" i="25"/>
  <c r="E318" i="25" s="1"/>
  <c r="D321" i="28"/>
  <c r="P321" i="28" s="1"/>
  <c r="D319" i="23"/>
  <c r="E319" i="23" s="1"/>
  <c r="D328" i="20"/>
  <c r="E328" i="20" s="1"/>
  <c r="D324" i="27"/>
  <c r="E324" i="27" s="1"/>
  <c r="I25" i="28"/>
  <c r="P29" i="28" s="1"/>
  <c r="D318" i="21"/>
  <c r="E318" i="21" s="1"/>
  <c r="D326" i="23"/>
  <c r="E326" i="23" s="1"/>
  <c r="D319" i="22"/>
  <c r="P319" i="22" s="1"/>
  <c r="D315" i="29"/>
  <c r="P315" i="29" s="1"/>
  <c r="D326" i="21"/>
  <c r="P326" i="21" s="1"/>
  <c r="D329" i="21"/>
  <c r="E329" i="21" s="1"/>
  <c r="D315" i="21"/>
  <c r="E315" i="21" s="1"/>
  <c r="D326" i="27"/>
  <c r="E326" i="27" s="1"/>
  <c r="D329" i="23"/>
  <c r="P329" i="23" s="1"/>
  <c r="I25" i="19"/>
  <c r="P28" i="19" s="1"/>
  <c r="D318" i="22"/>
  <c r="P318" i="22" s="1"/>
  <c r="D318" i="23"/>
  <c r="E318" i="23" s="1"/>
  <c r="D321" i="26"/>
  <c r="P321" i="26" s="1"/>
  <c r="D319" i="21"/>
  <c r="E319" i="21" s="1"/>
  <c r="I25" i="24"/>
  <c r="G301" i="24" s="1"/>
  <c r="D318" i="24"/>
  <c r="P318" i="24" s="1"/>
  <c r="D324" i="24"/>
  <c r="E324" i="24" s="1"/>
  <c r="D319" i="27"/>
  <c r="P319" i="27" s="1"/>
  <c r="D327" i="22"/>
  <c r="P327" i="22" s="1"/>
  <c r="D316" i="20"/>
  <c r="E316" i="20" s="1"/>
  <c r="D327" i="23"/>
  <c r="E327" i="23" s="1"/>
  <c r="D315" i="26"/>
  <c r="E315" i="26" s="1"/>
  <c r="D319" i="28"/>
  <c r="E319" i="28" s="1"/>
  <c r="D320" i="22"/>
  <c r="P320" i="22" s="1"/>
  <c r="D323" i="21"/>
  <c r="E323" i="21" s="1"/>
  <c r="D328" i="29"/>
  <c r="E328" i="29" s="1"/>
  <c r="D329" i="29"/>
  <c r="E329" i="29" s="1"/>
  <c r="D321" i="21"/>
  <c r="P321" i="21" s="1"/>
  <c r="D324" i="29"/>
  <c r="E324" i="29" s="1"/>
  <c r="D320" i="26"/>
  <c r="P320" i="26" s="1"/>
  <c r="D321" i="23"/>
  <c r="E321" i="23" s="1"/>
  <c r="D315" i="27"/>
  <c r="P315" i="27" s="1"/>
  <c r="D324" i="21"/>
  <c r="P324" i="21" s="1"/>
  <c r="D324" i="22"/>
  <c r="E324" i="22" s="1"/>
  <c r="D319" i="25"/>
  <c r="E319" i="25" s="1"/>
  <c r="D327" i="20"/>
  <c r="P327" i="20" s="1"/>
  <c r="I25" i="23"/>
  <c r="P29" i="23" s="1"/>
  <c r="D324" i="23"/>
  <c r="P324" i="23" s="1"/>
  <c r="D328" i="22"/>
  <c r="P328" i="22" s="1"/>
  <c r="D327" i="26"/>
  <c r="P327" i="26" s="1"/>
  <c r="D323" i="22"/>
  <c r="P323" i="22" s="1"/>
  <c r="P206" i="24"/>
  <c r="A206" i="24" s="1"/>
  <c r="A249" i="26"/>
  <c r="P169" i="20"/>
  <c r="P209" i="19"/>
  <c r="P180" i="19"/>
  <c r="P224" i="29"/>
  <c r="P234" i="22"/>
  <c r="P180" i="25"/>
  <c r="P206" i="23"/>
  <c r="A206" i="23" s="1"/>
  <c r="P236" i="24"/>
  <c r="P157" i="19"/>
  <c r="P169" i="26"/>
  <c r="A249" i="29"/>
  <c r="P216" i="20"/>
  <c r="P209" i="24"/>
  <c r="P216" i="29"/>
  <c r="C123" i="17"/>
  <c r="B101" i="10"/>
  <c r="B102" i="10" s="1"/>
  <c r="D56" i="31"/>
  <c r="C81" i="15"/>
  <c r="P226" i="27"/>
  <c r="P234" i="25"/>
  <c r="P236" i="20"/>
  <c r="P169" i="23"/>
  <c r="P234" i="26"/>
  <c r="P234" i="19"/>
  <c r="P157" i="24"/>
  <c r="P169" i="29"/>
  <c r="A249" i="22"/>
  <c r="P216" i="19"/>
  <c r="A249" i="23"/>
  <c r="A249" i="20"/>
  <c r="P224" i="27"/>
  <c r="P216" i="27"/>
  <c r="A249" i="28"/>
  <c r="P226" i="24"/>
  <c r="P180" i="29"/>
  <c r="P236" i="19"/>
  <c r="P169" i="25"/>
  <c r="P216" i="26"/>
  <c r="P157" i="29"/>
  <c r="P236" i="26"/>
  <c r="P236" i="23"/>
  <c r="P224" i="28"/>
  <c r="P180" i="24"/>
  <c r="P216" i="21"/>
  <c r="P234" i="27"/>
  <c r="P224" i="25"/>
  <c r="P209" i="27"/>
  <c r="P224" i="26"/>
  <c r="P157" i="25"/>
  <c r="P209" i="26"/>
  <c r="P169" i="28"/>
  <c r="P157" i="26"/>
  <c r="P216" i="28"/>
  <c r="P157" i="27"/>
  <c r="A249" i="21"/>
  <c r="P236" i="28"/>
  <c r="P180" i="22"/>
  <c r="P224" i="23"/>
  <c r="P226" i="26"/>
  <c r="P157" i="21"/>
  <c r="P157" i="20"/>
  <c r="P234" i="23"/>
  <c r="P169" i="21"/>
  <c r="A249" i="24"/>
  <c r="P157" i="23"/>
  <c r="P216" i="22"/>
  <c r="P206" i="19"/>
  <c r="A206" i="19" s="1"/>
  <c r="P209" i="23"/>
  <c r="P206" i="22"/>
  <c r="A206" i="22" s="1"/>
  <c r="P180" i="28"/>
  <c r="P206" i="25"/>
  <c r="A206" i="25" s="1"/>
  <c r="P180" i="23"/>
  <c r="P224" i="24"/>
  <c r="A249" i="19"/>
  <c r="P209" i="20"/>
  <c r="P169" i="3"/>
  <c r="P234" i="3"/>
  <c r="P180" i="3"/>
  <c r="P157" i="22"/>
  <c r="P224" i="19"/>
  <c r="P234" i="21"/>
  <c r="C100" i="17"/>
  <c r="C85" i="4" s="1"/>
  <c r="O328" i="20" s="1"/>
  <c r="C104" i="17"/>
  <c r="C91" i="4" s="1"/>
  <c r="C104" i="15" s="1"/>
  <c r="P234" i="29"/>
  <c r="P236" i="22"/>
  <c r="P224" i="3"/>
  <c r="P224" i="21"/>
  <c r="P180" i="20"/>
  <c r="P206" i="28"/>
  <c r="A206" i="28" s="1"/>
  <c r="P209" i="21"/>
  <c r="P226" i="28"/>
  <c r="P209" i="22"/>
  <c r="P216" i="23"/>
  <c r="P234" i="28"/>
  <c r="P206" i="29"/>
  <c r="A206" i="29" s="1"/>
  <c r="P169" i="22"/>
  <c r="P226" i="19"/>
  <c r="P209" i="29"/>
  <c r="P206" i="21"/>
  <c r="A206" i="21" s="1"/>
  <c r="P216" i="25"/>
  <c r="P180" i="21"/>
  <c r="P226" i="21"/>
  <c r="P226" i="3"/>
  <c r="P234" i="24"/>
  <c r="P236" i="29"/>
  <c r="P226" i="22"/>
  <c r="A249" i="25"/>
  <c r="P209" i="28"/>
  <c r="P226" i="20"/>
  <c r="P157" i="3"/>
  <c r="P226" i="29"/>
  <c r="P206" i="26"/>
  <c r="A206" i="26" s="1"/>
  <c r="P180" i="26"/>
  <c r="P226" i="25"/>
  <c r="P157" i="28"/>
  <c r="P206" i="27"/>
  <c r="A206" i="27" s="1"/>
  <c r="P206" i="20"/>
  <c r="A206" i="20" s="1"/>
  <c r="P236" i="3"/>
  <c r="P169" i="27"/>
  <c r="P236" i="25"/>
  <c r="A190" i="19"/>
  <c r="P234" i="20"/>
  <c r="P224" i="22"/>
  <c r="P224" i="20"/>
  <c r="P216" i="24"/>
  <c r="P236" i="27"/>
  <c r="P169" i="24"/>
  <c r="P226" i="23"/>
  <c r="A249" i="27"/>
  <c r="P209" i="25"/>
  <c r="P236" i="21"/>
  <c r="P216" i="3"/>
  <c r="P209" i="3"/>
  <c r="P206" i="3"/>
  <c r="A206" i="3" s="1"/>
  <c r="P180" i="27"/>
  <c r="C80" i="17"/>
  <c r="C65" i="4" s="1"/>
  <c r="C99" i="17"/>
  <c r="C84" i="4" s="1"/>
  <c r="C78" i="15"/>
  <c r="L42" i="10"/>
  <c r="L43" i="10" s="1"/>
  <c r="D53" i="31"/>
  <c r="A388" i="3"/>
  <c r="A45" i="18" s="1"/>
  <c r="A388" i="27"/>
  <c r="A388" i="19"/>
  <c r="A388" i="20"/>
  <c r="A388" i="23"/>
  <c r="A388" i="22"/>
  <c r="A388" i="24"/>
  <c r="A388" i="25"/>
  <c r="A388" i="21"/>
  <c r="D49" i="31"/>
  <c r="A388" i="26"/>
  <c r="A388" i="29"/>
  <c r="C74" i="15"/>
  <c r="A388" i="28"/>
  <c r="J42" i="10"/>
  <c r="J43" i="10"/>
  <c r="C69" i="17"/>
  <c r="C52" i="4" s="1"/>
  <c r="C62" i="17"/>
  <c r="C45" i="4" s="1"/>
  <c r="C43" i="17"/>
  <c r="C46" i="17"/>
  <c r="Q316" i="20"/>
  <c r="C316" i="20" s="1"/>
  <c r="P220" i="29"/>
  <c r="Q316" i="24"/>
  <c r="C316" i="24" s="1"/>
  <c r="P220" i="20"/>
  <c r="P240" i="22"/>
  <c r="P240" i="27"/>
  <c r="P230" i="3"/>
  <c r="P220" i="3"/>
  <c r="P240" i="28"/>
  <c r="Q316" i="23"/>
  <c r="C316" i="23" s="1"/>
  <c r="P220" i="28"/>
  <c r="P220" i="24"/>
  <c r="P230" i="23"/>
  <c r="P220" i="27"/>
  <c r="P240" i="23"/>
  <c r="P240" i="26"/>
  <c r="Q316" i="25"/>
  <c r="C316" i="25" s="1"/>
  <c r="Q316" i="19"/>
  <c r="C316" i="19" s="1"/>
  <c r="P220" i="19"/>
  <c r="P230" i="26"/>
  <c r="P240" i="24"/>
  <c r="P240" i="21"/>
  <c r="P220" i="21"/>
  <c r="Q316" i="3"/>
  <c r="C316" i="3" s="1"/>
  <c r="P220" i="25"/>
  <c r="P230" i="22"/>
  <c r="P230" i="28"/>
  <c r="P230" i="29"/>
  <c r="P220" i="22"/>
  <c r="P230" i="25"/>
  <c r="P230" i="24"/>
  <c r="P240" i="3"/>
  <c r="Q316" i="21"/>
  <c r="C316" i="21" s="1"/>
  <c r="P220" i="23"/>
  <c r="P240" i="29"/>
  <c r="Q316" i="28"/>
  <c r="C316" i="28" s="1"/>
  <c r="P230" i="27"/>
  <c r="P230" i="21"/>
  <c r="P240" i="20"/>
  <c r="P220" i="26"/>
  <c r="Q316" i="26"/>
  <c r="C316" i="26" s="1"/>
  <c r="Q316" i="22"/>
  <c r="C316" i="22" s="1"/>
  <c r="P230" i="19"/>
  <c r="Q316" i="27"/>
  <c r="C316" i="27" s="1"/>
  <c r="F7" i="22"/>
  <c r="A5" i="29"/>
  <c r="A14" i="19"/>
  <c r="A18" i="21"/>
  <c r="F5" i="26"/>
  <c r="A7" i="24"/>
  <c r="A16" i="3"/>
  <c r="F6" i="29"/>
  <c r="A6" i="27"/>
  <c r="A15" i="27"/>
  <c r="A17" i="22"/>
  <c r="A15" i="26"/>
  <c r="F5" i="20"/>
  <c r="A18" i="22"/>
  <c r="A16" i="25"/>
  <c r="A18" i="24"/>
  <c r="A14" i="20"/>
  <c r="F6" i="20"/>
  <c r="A13" i="27"/>
  <c r="F6" i="25"/>
  <c r="A5" i="23"/>
  <c r="F7" i="25"/>
  <c r="A6" i="23"/>
  <c r="A15" i="23"/>
  <c r="A6" i="22"/>
  <c r="F7" i="3"/>
  <c r="F5" i="22"/>
  <c r="A5" i="22"/>
  <c r="F7" i="23"/>
  <c r="A7" i="20"/>
  <c r="A15" i="28"/>
  <c r="A7" i="25"/>
  <c r="A14" i="22"/>
  <c r="A13" i="26"/>
  <c r="F5" i="29"/>
  <c r="F7" i="24"/>
  <c r="A7" i="19"/>
  <c r="A5" i="21"/>
  <c r="F5" i="21"/>
  <c r="A17" i="26"/>
  <c r="A5" i="19"/>
  <c r="A18" i="25"/>
  <c r="A14" i="25"/>
  <c r="A15" i="25"/>
  <c r="A6" i="26"/>
  <c r="A15" i="24"/>
  <c r="A16" i="21"/>
  <c r="A18" i="19"/>
  <c r="A18" i="20"/>
  <c r="A16" i="19"/>
  <c r="A16" i="23"/>
  <c r="A17" i="20"/>
  <c r="F6" i="3"/>
  <c r="F7" i="21"/>
  <c r="A17" i="21"/>
  <c r="A13" i="23"/>
  <c r="A15" i="29"/>
  <c r="A14" i="21"/>
  <c r="A6" i="25"/>
  <c r="F7" i="28"/>
  <c r="F5" i="23"/>
  <c r="A14" i="27"/>
  <c r="A7" i="21"/>
  <c r="A13" i="3"/>
  <c r="A7" i="28"/>
  <c r="A16" i="26"/>
  <c r="A13" i="25"/>
  <c r="F7" i="19"/>
  <c r="A13" i="19"/>
  <c r="F7" i="29"/>
  <c r="A18" i="29"/>
  <c r="A7" i="22"/>
  <c r="A7" i="23"/>
  <c r="A16" i="29"/>
  <c r="A18" i="28"/>
  <c r="A6" i="19"/>
  <c r="F5" i="28"/>
  <c r="F5" i="19"/>
  <c r="A17" i="25"/>
  <c r="A17" i="19"/>
  <c r="F5" i="25"/>
  <c r="F6" i="27"/>
  <c r="A18" i="26"/>
  <c r="F6" i="19"/>
  <c r="A16" i="28"/>
  <c r="F6" i="24"/>
  <c r="F5" i="24"/>
  <c r="A13" i="21"/>
  <c r="A5" i="20"/>
  <c r="F7" i="26"/>
  <c r="A15" i="20"/>
  <c r="A7" i="27"/>
  <c r="A6" i="21"/>
  <c r="A18" i="23"/>
  <c r="A14" i="28"/>
  <c r="A16" i="24"/>
  <c r="A5" i="3"/>
  <c r="A14" i="26"/>
  <c r="A16" i="20"/>
  <c r="A13" i="29"/>
  <c r="A18" i="27"/>
  <c r="A15" i="21"/>
  <c r="A16" i="27"/>
  <c r="A15" i="19"/>
  <c r="A14" i="24"/>
  <c r="F6" i="23"/>
  <c r="A17" i="27"/>
  <c r="A6" i="20"/>
  <c r="A6" i="24"/>
  <c r="A14" i="3"/>
  <c r="F6" i="22"/>
  <c r="A13" i="22"/>
  <c r="A5" i="25"/>
  <c r="A6" i="28"/>
  <c r="A15" i="22"/>
  <c r="A14" i="23"/>
  <c r="A17" i="3"/>
  <c r="A7" i="29"/>
  <c r="A18" i="3"/>
  <c r="A6" i="3"/>
  <c r="A13" i="24"/>
  <c r="A17" i="28"/>
  <c r="A17" i="24"/>
  <c r="A13" i="20"/>
  <c r="A13" i="28"/>
  <c r="AQ265" i="26"/>
  <c r="P60" i="25"/>
  <c r="P62" i="25"/>
  <c r="J364" i="22"/>
  <c r="J365" i="22" s="1"/>
  <c r="G56" i="22" s="1"/>
  <c r="P54" i="22"/>
  <c r="P61" i="25"/>
  <c r="G58" i="25"/>
  <c r="G57" i="25"/>
  <c r="E62" i="25"/>
  <c r="P56" i="25"/>
  <c r="P57" i="25"/>
  <c r="E61" i="25"/>
  <c r="G55" i="25"/>
  <c r="G56" i="25"/>
  <c r="G59" i="25"/>
  <c r="P59" i="25"/>
  <c r="P55" i="25"/>
  <c r="J366" i="29"/>
  <c r="G56" i="29"/>
  <c r="P56" i="29"/>
  <c r="AM265" i="26"/>
  <c r="DL265" i="26" s="1"/>
  <c r="AB265" i="26"/>
  <c r="AA265" i="26"/>
  <c r="AC265" i="26"/>
  <c r="Y265" i="26"/>
  <c r="J364" i="3"/>
  <c r="J365" i="3" s="1"/>
  <c r="J366" i="3" s="1"/>
  <c r="J367" i="3" s="1"/>
  <c r="J368" i="3" s="1"/>
  <c r="J369" i="3" s="1"/>
  <c r="J370" i="3" s="1"/>
  <c r="J371" i="3" s="1"/>
  <c r="AM266" i="25"/>
  <c r="DL266" i="25" s="1"/>
  <c r="U266" i="25"/>
  <c r="X266" i="25"/>
  <c r="W266" i="25"/>
  <c r="AQ266" i="25"/>
  <c r="S266" i="25"/>
  <c r="AB266" i="25"/>
  <c r="AC266" i="25"/>
  <c r="Y266" i="25"/>
  <c r="AA266" i="25"/>
  <c r="AH267" i="29"/>
  <c r="AJ267" i="29" s="1"/>
  <c r="A268" i="29"/>
  <c r="R267" i="29"/>
  <c r="P267" i="29"/>
  <c r="BC267" i="29" s="1"/>
  <c r="AW267" i="29"/>
  <c r="R267" i="26"/>
  <c r="AH267" i="26"/>
  <c r="AJ267" i="26" s="1"/>
  <c r="A268" i="26"/>
  <c r="AW267" i="26"/>
  <c r="P267" i="26"/>
  <c r="BC267" i="26" s="1"/>
  <c r="R267" i="25"/>
  <c r="AH267" i="25"/>
  <c r="AJ267" i="25" s="1"/>
  <c r="A268" i="25"/>
  <c r="P267" i="25"/>
  <c r="BC267" i="25" s="1"/>
  <c r="AW267" i="25"/>
  <c r="R267" i="20"/>
  <c r="AH267" i="20"/>
  <c r="AJ267" i="20" s="1"/>
  <c r="A268" i="20"/>
  <c r="P267" i="20"/>
  <c r="BC267" i="20" s="1"/>
  <c r="AW267" i="20"/>
  <c r="AM266" i="21"/>
  <c r="DL266" i="21" s="1"/>
  <c r="U266" i="21"/>
  <c r="X266" i="21"/>
  <c r="W266" i="21"/>
  <c r="S266" i="21"/>
  <c r="AQ266" i="21"/>
  <c r="AC266" i="21"/>
  <c r="AA266" i="21"/>
  <c r="AB266" i="21"/>
  <c r="Y266" i="21"/>
  <c r="R267" i="27"/>
  <c r="AH267" i="27"/>
  <c r="AJ267" i="27" s="1"/>
  <c r="A268" i="27"/>
  <c r="AW267" i="27"/>
  <c r="P267" i="27"/>
  <c r="BC267" i="27" s="1"/>
  <c r="AM266" i="29"/>
  <c r="DL266" i="29" s="1"/>
  <c r="U266" i="29"/>
  <c r="X266" i="29"/>
  <c r="W266" i="29"/>
  <c r="AQ266" i="29"/>
  <c r="S266" i="29"/>
  <c r="Y266" i="29"/>
  <c r="AB266" i="29"/>
  <c r="AA266" i="29"/>
  <c r="AC266" i="29"/>
  <c r="A268" i="28"/>
  <c r="R267" i="28"/>
  <c r="AH267" i="28"/>
  <c r="AJ267" i="28" s="1"/>
  <c r="AW267" i="28"/>
  <c r="P267" i="28"/>
  <c r="BC267" i="28" s="1"/>
  <c r="AM266" i="3"/>
  <c r="DL266" i="3" s="1"/>
  <c r="S266" i="3"/>
  <c r="U266" i="3"/>
  <c r="W266" i="3"/>
  <c r="X266" i="3"/>
  <c r="AQ266" i="3"/>
  <c r="Y266" i="3"/>
  <c r="AC266" i="3"/>
  <c r="AA266" i="3"/>
  <c r="AB266" i="3"/>
  <c r="AM266" i="23"/>
  <c r="DL266" i="23" s="1"/>
  <c r="S266" i="23"/>
  <c r="AQ266" i="23"/>
  <c r="W266" i="23"/>
  <c r="X266" i="23"/>
  <c r="U266" i="23"/>
  <c r="AB266" i="23"/>
  <c r="Y266" i="23"/>
  <c r="AC266" i="23"/>
  <c r="AA266" i="23"/>
  <c r="AM266" i="26"/>
  <c r="DL266" i="26" s="1"/>
  <c r="AQ266" i="26"/>
  <c r="S266" i="26"/>
  <c r="W266" i="26"/>
  <c r="U266" i="26"/>
  <c r="X266" i="26"/>
  <c r="AC266" i="26"/>
  <c r="AA266" i="26"/>
  <c r="Y266" i="26"/>
  <c r="AB266" i="26"/>
  <c r="AM266" i="20"/>
  <c r="DL266" i="20" s="1"/>
  <c r="AQ266" i="20"/>
  <c r="X266" i="20"/>
  <c r="U266" i="20"/>
  <c r="S266" i="20"/>
  <c r="W266" i="20"/>
  <c r="AA266" i="20"/>
  <c r="Y266" i="20"/>
  <c r="AB266" i="20"/>
  <c r="AC266" i="20"/>
  <c r="A268" i="3"/>
  <c r="R267" i="3"/>
  <c r="AH267" i="3"/>
  <c r="AJ267" i="3" s="1"/>
  <c r="AW267" i="3"/>
  <c r="P267" i="3"/>
  <c r="BC267" i="3" s="1"/>
  <c r="A268" i="23"/>
  <c r="R267" i="23"/>
  <c r="AH267" i="23"/>
  <c r="AJ267" i="23" s="1"/>
  <c r="P267" i="23"/>
  <c r="BC267" i="23" s="1"/>
  <c r="AW267" i="23"/>
  <c r="AM266" i="28"/>
  <c r="DL266" i="28" s="1"/>
  <c r="S266" i="28"/>
  <c r="AQ266" i="28"/>
  <c r="W266" i="28"/>
  <c r="U266" i="28"/>
  <c r="X266" i="28"/>
  <c r="AB266" i="28"/>
  <c r="Y266" i="28"/>
  <c r="AC266" i="28"/>
  <c r="AA266" i="28"/>
  <c r="A268" i="24"/>
  <c r="R267" i="24"/>
  <c r="AH267" i="24"/>
  <c r="AJ267" i="24" s="1"/>
  <c r="AW267" i="24"/>
  <c r="P267" i="24"/>
  <c r="BC267" i="24" s="1"/>
  <c r="AH267" i="22"/>
  <c r="AJ267" i="22" s="1"/>
  <c r="A268" i="22"/>
  <c r="R267" i="22"/>
  <c r="P267" i="22"/>
  <c r="BC267" i="22" s="1"/>
  <c r="AW267" i="22"/>
  <c r="AM266" i="27"/>
  <c r="DL266" i="27" s="1"/>
  <c r="U266" i="27"/>
  <c r="X266" i="27"/>
  <c r="W266" i="27"/>
  <c r="S266" i="27"/>
  <c r="AQ266" i="27"/>
  <c r="Y266" i="27"/>
  <c r="AC266" i="27"/>
  <c r="AB266" i="27"/>
  <c r="AA266" i="27"/>
  <c r="AM265" i="19"/>
  <c r="DL265" i="19" s="1"/>
  <c r="AQ265" i="19"/>
  <c r="S265" i="19"/>
  <c r="W265" i="19"/>
  <c r="U265" i="19"/>
  <c r="X265" i="19"/>
  <c r="AA265" i="19"/>
  <c r="AC265" i="19"/>
  <c r="Y265" i="19"/>
  <c r="AB265" i="19"/>
  <c r="AM266" i="24"/>
  <c r="DL266" i="24" s="1"/>
  <c r="W266" i="24"/>
  <c r="U266" i="24"/>
  <c r="X266" i="24"/>
  <c r="AQ266" i="24"/>
  <c r="S266" i="24"/>
  <c r="AB266" i="24"/>
  <c r="Y266" i="24"/>
  <c r="AC266" i="24"/>
  <c r="AA266" i="24"/>
  <c r="AM266" i="22"/>
  <c r="DL266" i="22" s="1"/>
  <c r="U266" i="22"/>
  <c r="S266" i="22"/>
  <c r="W266" i="22"/>
  <c r="AQ266" i="22"/>
  <c r="X266" i="22"/>
  <c r="AB266" i="22"/>
  <c r="Y266" i="22"/>
  <c r="AC266" i="22"/>
  <c r="AA266" i="22"/>
  <c r="A268" i="21"/>
  <c r="R267" i="21"/>
  <c r="AH267" i="21"/>
  <c r="AJ267" i="21" s="1"/>
  <c r="P267" i="21"/>
  <c r="BC267" i="21" s="1"/>
  <c r="AW267" i="21"/>
  <c r="A267" i="19"/>
  <c r="R266" i="19"/>
  <c r="AH266" i="19"/>
  <c r="AJ266" i="19" s="1"/>
  <c r="P266" i="19"/>
  <c r="BC266" i="19" s="1"/>
  <c r="AW266" i="19"/>
  <c r="E327" i="3"/>
  <c r="P327" i="3"/>
  <c r="P328" i="3"/>
  <c r="E324" i="3"/>
  <c r="P324" i="3"/>
  <c r="P319" i="3"/>
  <c r="E319" i="3"/>
  <c r="P322" i="3"/>
  <c r="E322" i="3"/>
  <c r="P329" i="3"/>
  <c r="E329" i="3"/>
  <c r="P323" i="3"/>
  <c r="E323" i="3"/>
  <c r="E321" i="3"/>
  <c r="P321" i="3"/>
  <c r="E316" i="3"/>
  <c r="P316" i="3"/>
  <c r="P318" i="3"/>
  <c r="E318" i="3"/>
  <c r="P28" i="29"/>
  <c r="P30" i="29"/>
  <c r="P29" i="29"/>
  <c r="G301" i="29"/>
  <c r="E316" i="23"/>
  <c r="P316" i="23"/>
  <c r="P325" i="3"/>
  <c r="E326" i="3"/>
  <c r="P326" i="3"/>
  <c r="E320" i="3"/>
  <c r="P320" i="3"/>
  <c r="P30" i="3"/>
  <c r="P28" i="3"/>
  <c r="P29" i="3"/>
  <c r="G301" i="3"/>
  <c r="E248" i="25" l="1"/>
  <c r="E154" i="26"/>
  <c r="E248" i="28"/>
  <c r="A248" i="3"/>
  <c r="G154" i="22"/>
  <c r="A248" i="19"/>
  <c r="A248" i="22"/>
  <c r="E248" i="29"/>
  <c r="E248" i="23"/>
  <c r="E248" i="20"/>
  <c r="E248" i="27"/>
  <c r="E248" i="24"/>
  <c r="AA315" i="24"/>
  <c r="A315" i="24" s="1"/>
  <c r="C127" i="15"/>
  <c r="D104" i="31"/>
  <c r="C126" i="15"/>
  <c r="D103" i="31"/>
  <c r="C125" i="15"/>
  <c r="H101" i="10"/>
  <c r="H102" i="10" s="1"/>
  <c r="D102" i="31"/>
  <c r="C110" i="4"/>
  <c r="F110" i="4" s="1"/>
  <c r="E320" i="19"/>
  <c r="E322" i="22"/>
  <c r="E317" i="21"/>
  <c r="P320" i="28"/>
  <c r="B320" i="28" s="1"/>
  <c r="E318" i="28"/>
  <c r="B318" i="22"/>
  <c r="E316" i="19"/>
  <c r="D37" i="31"/>
  <c r="C62" i="15"/>
  <c r="F42" i="10"/>
  <c r="F43" i="10" s="1"/>
  <c r="P321" i="25"/>
  <c r="I419" i="25" s="1"/>
  <c r="D21" i="31"/>
  <c r="D18" i="31"/>
  <c r="E325" i="21"/>
  <c r="P328" i="19"/>
  <c r="I438" i="19" s="1"/>
  <c r="P317" i="20"/>
  <c r="A394" i="20" s="1"/>
  <c r="P328" i="25"/>
  <c r="B328" i="25" s="1"/>
  <c r="E320" i="24"/>
  <c r="E329" i="25"/>
  <c r="P323" i="19"/>
  <c r="A424" i="19" s="1"/>
  <c r="P28" i="20"/>
  <c r="F301" i="20" s="1"/>
  <c r="P327" i="21"/>
  <c r="A398" i="21" s="1"/>
  <c r="G301" i="20"/>
  <c r="P30" i="20"/>
  <c r="P329" i="27"/>
  <c r="A441" i="27" s="1"/>
  <c r="P323" i="26"/>
  <c r="I423" i="26" s="1"/>
  <c r="E315" i="28"/>
  <c r="E327" i="20"/>
  <c r="E318" i="26"/>
  <c r="P328" i="28"/>
  <c r="A439" i="28" s="1"/>
  <c r="E327" i="28"/>
  <c r="P317" i="27"/>
  <c r="B317" i="27" s="1"/>
  <c r="P315" i="24"/>
  <c r="A389" i="24" s="1"/>
  <c r="E326" i="22"/>
  <c r="E323" i="20"/>
  <c r="E322" i="21"/>
  <c r="E323" i="27"/>
  <c r="E322" i="25"/>
  <c r="P318" i="23"/>
  <c r="B318" i="23" s="1"/>
  <c r="E321" i="21"/>
  <c r="G301" i="21"/>
  <c r="P30" i="21"/>
  <c r="G377" i="21" s="1"/>
  <c r="I377" i="21" s="1"/>
  <c r="F34" i="18" s="1"/>
  <c r="E322" i="28"/>
  <c r="P29" i="22"/>
  <c r="F152" i="22" s="1"/>
  <c r="P320" i="21"/>
  <c r="I417" i="21" s="1"/>
  <c r="E315" i="23"/>
  <c r="E316" i="22"/>
  <c r="P28" i="22"/>
  <c r="P317" i="19"/>
  <c r="A394" i="19" s="1"/>
  <c r="P327" i="24"/>
  <c r="A398" i="24" s="1"/>
  <c r="P326" i="23"/>
  <c r="B326" i="23" s="1"/>
  <c r="E319" i="24"/>
  <c r="P328" i="24"/>
  <c r="I438" i="24" s="1"/>
  <c r="P316" i="29"/>
  <c r="B316" i="29" s="1"/>
  <c r="E318" i="19"/>
  <c r="P315" i="26"/>
  <c r="B315" i="26" s="1"/>
  <c r="P326" i="24"/>
  <c r="B326" i="24" s="1"/>
  <c r="E329" i="28"/>
  <c r="E321" i="29"/>
  <c r="P319" i="19"/>
  <c r="B319" i="19" s="1"/>
  <c r="E329" i="20"/>
  <c r="E316" i="27"/>
  <c r="E319" i="26"/>
  <c r="P323" i="29"/>
  <c r="B323" i="29" s="1"/>
  <c r="P326" i="26"/>
  <c r="B326" i="26" s="1"/>
  <c r="E329" i="26"/>
  <c r="E316" i="26"/>
  <c r="P322" i="26"/>
  <c r="A422" i="26" s="1"/>
  <c r="P325" i="22"/>
  <c r="B325" i="22" s="1"/>
  <c r="P29" i="27"/>
  <c r="F152" i="27" s="1"/>
  <c r="P28" i="27"/>
  <c r="P329" i="19"/>
  <c r="A441" i="19" s="1"/>
  <c r="P30" i="27"/>
  <c r="C24" i="15" s="1"/>
  <c r="P322" i="19"/>
  <c r="B322" i="19" s="1"/>
  <c r="P316" i="28"/>
  <c r="A391" i="28" s="1"/>
  <c r="P315" i="20"/>
  <c r="A389" i="20" s="1"/>
  <c r="P317" i="26"/>
  <c r="A394" i="26" s="1"/>
  <c r="E319" i="29"/>
  <c r="E328" i="27"/>
  <c r="B318" i="3"/>
  <c r="E327" i="29"/>
  <c r="P327" i="27"/>
  <c r="A398" i="27" s="1"/>
  <c r="P317" i="25"/>
  <c r="B317" i="25" s="1"/>
  <c r="P29" i="26"/>
  <c r="F152" i="26" s="1"/>
  <c r="P317" i="23"/>
  <c r="B317" i="23" s="1"/>
  <c r="P30" i="26"/>
  <c r="G377" i="26" s="1"/>
  <c r="I377" i="26" s="1"/>
  <c r="K34" i="18" s="1"/>
  <c r="E328" i="21"/>
  <c r="E317" i="22"/>
  <c r="P28" i="26"/>
  <c r="P30" i="22"/>
  <c r="G377" i="22" s="1"/>
  <c r="I377" i="22" s="1"/>
  <c r="G34" i="18" s="1"/>
  <c r="P30" i="28"/>
  <c r="C25" i="15" s="1"/>
  <c r="P326" i="27"/>
  <c r="A396" i="27" s="1"/>
  <c r="P28" i="28"/>
  <c r="F301" i="28" s="1"/>
  <c r="E320" i="22"/>
  <c r="P317" i="3"/>
  <c r="A394" i="3" s="1"/>
  <c r="A51" i="18" s="1"/>
  <c r="P324" i="26"/>
  <c r="I425" i="26" s="1"/>
  <c r="E324" i="25"/>
  <c r="E318" i="24"/>
  <c r="E321" i="19"/>
  <c r="P321" i="24"/>
  <c r="I419" i="24" s="1"/>
  <c r="E320" i="29"/>
  <c r="P318" i="29"/>
  <c r="B318" i="29" s="1"/>
  <c r="E325" i="28"/>
  <c r="P319" i="21"/>
  <c r="I415" i="21" s="1"/>
  <c r="E322" i="24"/>
  <c r="P318" i="20"/>
  <c r="B318" i="20" s="1"/>
  <c r="B318" i="28"/>
  <c r="E326" i="25"/>
  <c r="P329" i="21"/>
  <c r="I440" i="21" s="1"/>
  <c r="P316" i="24"/>
  <c r="G390" i="24" s="1"/>
  <c r="I390" i="24" s="1"/>
  <c r="E320" i="26"/>
  <c r="E100" i="31"/>
  <c r="P328" i="20"/>
  <c r="B328" i="20" s="1"/>
  <c r="E323" i="24"/>
  <c r="E324" i="23"/>
  <c r="P327" i="19"/>
  <c r="B327" i="19" s="1"/>
  <c r="P316" i="25"/>
  <c r="A391" i="25" s="1"/>
  <c r="E328" i="22"/>
  <c r="P30" i="24"/>
  <c r="P324" i="28"/>
  <c r="I425" i="28" s="1"/>
  <c r="E317" i="29"/>
  <c r="P327" i="25"/>
  <c r="A398" i="25" s="1"/>
  <c r="E325" i="24"/>
  <c r="P28" i="21"/>
  <c r="F301" i="21" s="1"/>
  <c r="P317" i="24"/>
  <c r="B317" i="24" s="1"/>
  <c r="E321" i="28"/>
  <c r="P316" i="20"/>
  <c r="B316" i="20" s="1"/>
  <c r="E315" i="29"/>
  <c r="B318" i="26"/>
  <c r="P28" i="24"/>
  <c r="P321" i="23"/>
  <c r="I419" i="23" s="1"/>
  <c r="P322" i="23"/>
  <c r="A422" i="23" s="1"/>
  <c r="P29" i="24"/>
  <c r="F152" i="24" s="1"/>
  <c r="P324" i="27"/>
  <c r="A426" i="27" s="1"/>
  <c r="P319" i="28"/>
  <c r="B319" i="28" s="1"/>
  <c r="P325" i="26"/>
  <c r="I399" i="26" s="1"/>
  <c r="P320" i="27"/>
  <c r="B320" i="27" s="1"/>
  <c r="P315" i="21"/>
  <c r="I388" i="21" s="1"/>
  <c r="P325" i="29"/>
  <c r="I399" i="29" s="1"/>
  <c r="E321" i="27"/>
  <c r="E315" i="25"/>
  <c r="P318" i="21"/>
  <c r="B318" i="21" s="1"/>
  <c r="P323" i="21"/>
  <c r="A424" i="21" s="1"/>
  <c r="P329" i="22"/>
  <c r="I440" i="22" s="1"/>
  <c r="G301" i="19"/>
  <c r="E325" i="25"/>
  <c r="E322" i="29"/>
  <c r="E325" i="20"/>
  <c r="P328" i="29"/>
  <c r="B328" i="29" s="1"/>
  <c r="B318" i="19"/>
  <c r="P324" i="22"/>
  <c r="I425" i="22" s="1"/>
  <c r="E319" i="27"/>
  <c r="E320" i="25"/>
  <c r="B318" i="24"/>
  <c r="E315" i="27"/>
  <c r="E323" i="23"/>
  <c r="P321" i="22"/>
  <c r="A420" i="22" s="1"/>
  <c r="P326" i="19"/>
  <c r="I395" i="19" s="1"/>
  <c r="G301" i="28"/>
  <c r="P325" i="19"/>
  <c r="I399" i="19" s="1"/>
  <c r="P315" i="22"/>
  <c r="A389" i="22" s="1"/>
  <c r="P321" i="20"/>
  <c r="I419" i="20" s="1"/>
  <c r="E327" i="26"/>
  <c r="P326" i="28"/>
  <c r="I395" i="28" s="1"/>
  <c r="E326" i="29"/>
  <c r="P29" i="25"/>
  <c r="F152" i="25" s="1"/>
  <c r="P316" i="19"/>
  <c r="B316" i="19" s="1"/>
  <c r="P319" i="25"/>
  <c r="A416" i="25" s="1"/>
  <c r="P28" i="25"/>
  <c r="E329" i="23"/>
  <c r="E323" i="22"/>
  <c r="P324" i="24"/>
  <c r="A426" i="24" s="1"/>
  <c r="P317" i="28"/>
  <c r="B317" i="28" s="1"/>
  <c r="P329" i="24"/>
  <c r="B329" i="24" s="1"/>
  <c r="G301" i="25"/>
  <c r="E324" i="21"/>
  <c r="E318" i="22"/>
  <c r="E320" i="23"/>
  <c r="E323" i="28"/>
  <c r="P318" i="25"/>
  <c r="B318" i="25" s="1"/>
  <c r="E319" i="22"/>
  <c r="E323" i="25"/>
  <c r="P322" i="27"/>
  <c r="I421" i="27" s="1"/>
  <c r="P319" i="20"/>
  <c r="B319" i="20" s="1"/>
  <c r="P324" i="29"/>
  <c r="I425" i="29" s="1"/>
  <c r="E326" i="21"/>
  <c r="P325" i="23"/>
  <c r="A400" i="23" s="1"/>
  <c r="E321" i="26"/>
  <c r="P28" i="23"/>
  <c r="F301" i="23" s="1"/>
  <c r="E325" i="27"/>
  <c r="G301" i="23"/>
  <c r="P322" i="20"/>
  <c r="I421" i="20" s="1"/>
  <c r="E316" i="21"/>
  <c r="E328" i="23"/>
  <c r="P30" i="19"/>
  <c r="G377" i="19" s="1"/>
  <c r="I377" i="19" s="1"/>
  <c r="D34" i="18" s="1"/>
  <c r="P30" i="23"/>
  <c r="G377" i="23" s="1"/>
  <c r="I377" i="23" s="1"/>
  <c r="H34" i="18" s="1"/>
  <c r="O328" i="28"/>
  <c r="E327" i="22"/>
  <c r="P318" i="27"/>
  <c r="B318" i="27" s="1"/>
  <c r="P319" i="23"/>
  <c r="A416" i="23" s="1"/>
  <c r="P329" i="29"/>
  <c r="A441" i="29" s="1"/>
  <c r="P324" i="20"/>
  <c r="I425" i="20" s="1"/>
  <c r="P326" i="20"/>
  <c r="I395" i="20" s="1"/>
  <c r="P327" i="23"/>
  <c r="I397" i="23" s="1"/>
  <c r="P320" i="20"/>
  <c r="A418" i="20" s="1"/>
  <c r="E328" i="26"/>
  <c r="P29" i="19"/>
  <c r="F152" i="19" s="1"/>
  <c r="E324" i="19"/>
  <c r="AA315" i="3"/>
  <c r="A315" i="3" s="1"/>
  <c r="AA315" i="21"/>
  <c r="A315" i="21" s="1"/>
  <c r="AA315" i="22"/>
  <c r="A315" i="22" s="1"/>
  <c r="AA315" i="29"/>
  <c r="A315" i="29" s="1"/>
  <c r="AA315" i="27"/>
  <c r="A315" i="27" s="1"/>
  <c r="O328" i="27"/>
  <c r="O328" i="3"/>
  <c r="E328" i="3" s="1"/>
  <c r="O328" i="24"/>
  <c r="B66" i="4"/>
  <c r="C56" i="31" s="1"/>
  <c r="O328" i="19"/>
  <c r="O328" i="26"/>
  <c r="O328" i="25"/>
  <c r="O328" i="29"/>
  <c r="O328" i="23"/>
  <c r="D75" i="31"/>
  <c r="O328" i="22"/>
  <c r="C100" i="15"/>
  <c r="O328" i="21"/>
  <c r="A375" i="23"/>
  <c r="A375" i="20"/>
  <c r="I382" i="19"/>
  <c r="D39" i="18" s="1"/>
  <c r="I383" i="21"/>
  <c r="F40" i="18" s="1"/>
  <c r="I384" i="27"/>
  <c r="L41" i="18" s="1"/>
  <c r="I383" i="20"/>
  <c r="E40" i="18" s="1"/>
  <c r="I383" i="19"/>
  <c r="D40" i="18" s="1"/>
  <c r="I384" i="21"/>
  <c r="F41" i="18" s="1"/>
  <c r="I384" i="29"/>
  <c r="N41" i="18" s="1"/>
  <c r="I382" i="23"/>
  <c r="H39" i="18" s="1"/>
  <c r="I383" i="28"/>
  <c r="M40" i="18" s="1"/>
  <c r="I382" i="3"/>
  <c r="C39" i="18" s="1"/>
  <c r="I383" i="3"/>
  <c r="C40" i="18" s="1"/>
  <c r="I383" i="27"/>
  <c r="L40" i="18" s="1"/>
  <c r="I384" i="23"/>
  <c r="H41" i="18" s="1"/>
  <c r="I382" i="26"/>
  <c r="K39" i="18" s="1"/>
  <c r="I384" i="25"/>
  <c r="J41" i="18" s="1"/>
  <c r="I384" i="28"/>
  <c r="M41" i="18" s="1"/>
  <c r="I382" i="24"/>
  <c r="I39" i="18" s="1"/>
  <c r="D81" i="31"/>
  <c r="G91" i="4"/>
  <c r="I384" i="22"/>
  <c r="G41" i="18" s="1"/>
  <c r="AA315" i="28"/>
  <c r="A315" i="28" s="1"/>
  <c r="I382" i="29"/>
  <c r="N39" i="18" s="1"/>
  <c r="I383" i="22"/>
  <c r="G40" i="18" s="1"/>
  <c r="I383" i="23"/>
  <c r="H40" i="18" s="1"/>
  <c r="I382" i="20"/>
  <c r="E39" i="18" s="1"/>
  <c r="AA315" i="25"/>
  <c r="A315" i="25" s="1"/>
  <c r="AA315" i="26"/>
  <c r="A315" i="26" s="1"/>
  <c r="I382" i="21"/>
  <c r="F39" i="18" s="1"/>
  <c r="I383" i="29"/>
  <c r="N40" i="18" s="1"/>
  <c r="I384" i="24"/>
  <c r="I41" i="18" s="1"/>
  <c r="I384" i="20"/>
  <c r="E41" i="18" s="1"/>
  <c r="AA315" i="20"/>
  <c r="A315" i="20" s="1"/>
  <c r="AA315" i="19"/>
  <c r="A315" i="19" s="1"/>
  <c r="I382" i="27"/>
  <c r="L39" i="18" s="1"/>
  <c r="I384" i="19"/>
  <c r="D41" i="18" s="1"/>
  <c r="I383" i="25"/>
  <c r="J40" i="18" s="1"/>
  <c r="I383" i="24"/>
  <c r="I40" i="18" s="1"/>
  <c r="I384" i="3"/>
  <c r="C41" i="18" s="1"/>
  <c r="I382" i="28"/>
  <c r="M39" i="18" s="1"/>
  <c r="I384" i="26"/>
  <c r="K41" i="18" s="1"/>
  <c r="I382" i="22"/>
  <c r="G39" i="18" s="1"/>
  <c r="I382" i="25"/>
  <c r="J39" i="18" s="1"/>
  <c r="C80" i="15"/>
  <c r="D55" i="31"/>
  <c r="D74" i="31"/>
  <c r="C99" i="15"/>
  <c r="O325" i="23"/>
  <c r="O325" i="3"/>
  <c r="E325" i="3" s="1"/>
  <c r="O325" i="27"/>
  <c r="O325" i="24"/>
  <c r="O325" i="28"/>
  <c r="O325" i="21"/>
  <c r="O325" i="20"/>
  <c r="O325" i="25"/>
  <c r="O325" i="29"/>
  <c r="O325" i="22"/>
  <c r="O325" i="19"/>
  <c r="O325" i="26"/>
  <c r="BL267" i="26"/>
  <c r="BL279" i="26"/>
  <c r="BL287" i="22"/>
  <c r="BL281" i="3"/>
  <c r="BL279" i="22"/>
  <c r="BL275" i="21"/>
  <c r="BL270" i="20"/>
  <c r="BL293" i="22"/>
  <c r="BL280" i="20"/>
  <c r="BL280" i="25"/>
  <c r="BL265" i="23"/>
  <c r="BL293" i="28"/>
  <c r="BL267" i="24"/>
  <c r="BL291" i="26"/>
  <c r="BL277" i="22"/>
  <c r="BL286" i="29"/>
  <c r="BL281" i="21"/>
  <c r="BL271" i="27"/>
  <c r="BL288" i="21"/>
  <c r="BL286" i="20"/>
  <c r="BL293" i="19"/>
  <c r="O317" i="26"/>
  <c r="BL283" i="20"/>
  <c r="BL275" i="28"/>
  <c r="BL284" i="23"/>
  <c r="BL289" i="22"/>
  <c r="BL290" i="3"/>
  <c r="BL266" i="23"/>
  <c r="BL278" i="25"/>
  <c r="BL278" i="20"/>
  <c r="BL267" i="25"/>
  <c r="BL266" i="21"/>
  <c r="BL270" i="29"/>
  <c r="BL273" i="26"/>
  <c r="BL268" i="21"/>
  <c r="BL267" i="19"/>
  <c r="BL283" i="21"/>
  <c r="BL265" i="28"/>
  <c r="O317" i="28"/>
  <c r="BL284" i="19"/>
  <c r="BL265" i="24"/>
  <c r="BL268" i="27"/>
  <c r="BL282" i="22"/>
  <c r="BL271" i="25"/>
  <c r="BL283" i="25"/>
  <c r="BL272" i="27"/>
  <c r="BL264" i="19"/>
  <c r="BL265" i="25"/>
  <c r="BL290" i="23"/>
  <c r="BL277" i="23"/>
  <c r="BL291" i="29"/>
  <c r="BL271" i="23"/>
  <c r="BL292" i="23"/>
  <c r="BL273" i="29"/>
  <c r="BL280" i="24"/>
  <c r="BL285" i="19"/>
  <c r="BL283" i="19"/>
  <c r="BL264" i="29"/>
  <c r="BL292" i="26"/>
  <c r="BL269" i="19"/>
  <c r="BL271" i="26"/>
  <c r="BL272" i="20"/>
  <c r="BL286" i="3"/>
  <c r="BL284" i="26"/>
  <c r="BL266" i="29"/>
  <c r="BL277" i="26"/>
  <c r="BL267" i="29"/>
  <c r="BL287" i="25"/>
  <c r="BL286" i="22"/>
  <c r="BL288" i="3"/>
  <c r="BL269" i="21"/>
  <c r="BL274" i="3"/>
  <c r="BL278" i="23"/>
  <c r="BL267" i="28"/>
  <c r="O317" i="22"/>
  <c r="BL294" i="19"/>
  <c r="BL271" i="19"/>
  <c r="O317" i="20"/>
  <c r="BL280" i="26"/>
  <c r="BL294" i="25"/>
  <c r="BL294" i="22"/>
  <c r="BL279" i="19"/>
  <c r="BL268" i="28"/>
  <c r="BL285" i="27"/>
  <c r="BL266" i="22"/>
  <c r="BL270" i="25"/>
  <c r="BL281" i="19"/>
  <c r="BL285" i="25"/>
  <c r="BL275" i="22"/>
  <c r="BL285" i="3"/>
  <c r="BL267" i="20"/>
  <c r="K59" i="4"/>
  <c r="BL280" i="23"/>
  <c r="BL287" i="26"/>
  <c r="BL290" i="28"/>
  <c r="BL264" i="28"/>
  <c r="BL264" i="26"/>
  <c r="BL290" i="25"/>
  <c r="BL279" i="28"/>
  <c r="BL267" i="3"/>
  <c r="BL290" i="19"/>
  <c r="BL271" i="20"/>
  <c r="BL279" i="21"/>
  <c r="BL294" i="23"/>
  <c r="BL286" i="23"/>
  <c r="BL275" i="29"/>
  <c r="BL273" i="20"/>
  <c r="BL269" i="27"/>
  <c r="BL270" i="26"/>
  <c r="BL281" i="28"/>
  <c r="BL293" i="3"/>
  <c r="BL289" i="21"/>
  <c r="BL294" i="21"/>
  <c r="BL283" i="27"/>
  <c r="BL282" i="28"/>
  <c r="BL274" i="23"/>
  <c r="BL278" i="29"/>
  <c r="BL289" i="26"/>
  <c r="BL284" i="21"/>
  <c r="BL271" i="21"/>
  <c r="BL273" i="21"/>
  <c r="BL293" i="25"/>
  <c r="BL266" i="28"/>
  <c r="BL275" i="25"/>
  <c r="BL294" i="29"/>
  <c r="BL267" i="23"/>
  <c r="BL270" i="28"/>
  <c r="BL267" i="27"/>
  <c r="BL287" i="23"/>
  <c r="BL275" i="20"/>
  <c r="BL286" i="19"/>
  <c r="BL272" i="19"/>
  <c r="BL292" i="25"/>
  <c r="BL265" i="22"/>
  <c r="BL269" i="3"/>
  <c r="BL265" i="21"/>
  <c r="BL291" i="3"/>
  <c r="BL264" i="22"/>
  <c r="BL284" i="22"/>
  <c r="BL269" i="22"/>
  <c r="BL291" i="21"/>
  <c r="BL282" i="25"/>
  <c r="BL280" i="27"/>
  <c r="O317" i="27"/>
  <c r="BL267" i="22"/>
  <c r="BL287" i="29"/>
  <c r="BL273" i="19"/>
  <c r="BL285" i="29"/>
  <c r="BL265" i="27"/>
  <c r="BL280" i="19"/>
  <c r="BL282" i="27"/>
  <c r="BL292" i="22"/>
  <c r="BL282" i="19"/>
  <c r="BL277" i="24"/>
  <c r="BL274" i="26"/>
  <c r="BL274" i="19"/>
  <c r="O317" i="23"/>
  <c r="BL292" i="19"/>
  <c r="BL273" i="23"/>
  <c r="BL279" i="29"/>
  <c r="BL288" i="23"/>
  <c r="BL292" i="3"/>
  <c r="H59" i="4"/>
  <c r="H374" i="25" s="1"/>
  <c r="BL288" i="29"/>
  <c r="BL268" i="26"/>
  <c r="BL264" i="23"/>
  <c r="BL288" i="24"/>
  <c r="BL276" i="20"/>
  <c r="BL271" i="29"/>
  <c r="BL287" i="24"/>
  <c r="BL274" i="29"/>
  <c r="BL271" i="24"/>
  <c r="BL293" i="24"/>
  <c r="BL289" i="28"/>
  <c r="BL281" i="24"/>
  <c r="BL288" i="20"/>
  <c r="BL266" i="20"/>
  <c r="BL275" i="27"/>
  <c r="BL270" i="27"/>
  <c r="BL284" i="24"/>
  <c r="BL286" i="28"/>
  <c r="BL272" i="23"/>
  <c r="BL286" i="26"/>
  <c r="BL289" i="3"/>
  <c r="BL272" i="25"/>
  <c r="BL282" i="29"/>
  <c r="BL283" i="28"/>
  <c r="O317" i="21"/>
  <c r="BL288" i="19"/>
  <c r="BL291" i="23"/>
  <c r="L59" i="4"/>
  <c r="BL265" i="29"/>
  <c r="G59" i="4"/>
  <c r="O59" i="4"/>
  <c r="BL287" i="19"/>
  <c r="BL273" i="22"/>
  <c r="BL266" i="3"/>
  <c r="BL283" i="26"/>
  <c r="BL290" i="24"/>
  <c r="BL281" i="26"/>
  <c r="BL268" i="19"/>
  <c r="BL280" i="3"/>
  <c r="BL272" i="29"/>
  <c r="BL294" i="20"/>
  <c r="BL290" i="27"/>
  <c r="BL272" i="28"/>
  <c r="BL293" i="26"/>
  <c r="BL267" i="21"/>
  <c r="BL274" i="28"/>
  <c r="BL285" i="20"/>
  <c r="BL276" i="29"/>
  <c r="BL285" i="26"/>
  <c r="BL278" i="27"/>
  <c r="BL286" i="24"/>
  <c r="BL278" i="19"/>
  <c r="BL274" i="27"/>
  <c r="BL266" i="27"/>
  <c r="BL291" i="20"/>
  <c r="BL278" i="26"/>
  <c r="BL280" i="28"/>
  <c r="BL276" i="23"/>
  <c r="BL278" i="3"/>
  <c r="BL276" i="19"/>
  <c r="BL269" i="20"/>
  <c r="BL268" i="3"/>
  <c r="BL273" i="25"/>
  <c r="BL281" i="27"/>
  <c r="BL282" i="23"/>
  <c r="BL283" i="22"/>
  <c r="BL269" i="29"/>
  <c r="BL279" i="25"/>
  <c r="BL287" i="3"/>
  <c r="BL270" i="3"/>
  <c r="BL269" i="25"/>
  <c r="BL292" i="24"/>
  <c r="BL289" i="23"/>
  <c r="BL292" i="20"/>
  <c r="BL268" i="24"/>
  <c r="BL265" i="20"/>
  <c r="BL293" i="20"/>
  <c r="BL284" i="29"/>
  <c r="BL290" i="20"/>
  <c r="BL286" i="27"/>
  <c r="BL269" i="28"/>
  <c r="BL277" i="27"/>
  <c r="BL282" i="21"/>
  <c r="BL283" i="23"/>
  <c r="BL288" i="27"/>
  <c r="BL278" i="21"/>
  <c r="BL294" i="27"/>
  <c r="BL276" i="28"/>
  <c r="BL294" i="26"/>
  <c r="BL272" i="24"/>
  <c r="BL272" i="22"/>
  <c r="BL292" i="27"/>
  <c r="BL282" i="24"/>
  <c r="BL285" i="22"/>
  <c r="BL281" i="23"/>
  <c r="BL278" i="22"/>
  <c r="BL293" i="21"/>
  <c r="BL289" i="20"/>
  <c r="BL277" i="19"/>
  <c r="BL287" i="27"/>
  <c r="BL293" i="29"/>
  <c r="BL273" i="27"/>
  <c r="BL288" i="28"/>
  <c r="BL288" i="25"/>
  <c r="BL291" i="22"/>
  <c r="BL276" i="27"/>
  <c r="O317" i="25"/>
  <c r="BL285" i="21"/>
  <c r="BL274" i="25"/>
  <c r="BL279" i="27"/>
  <c r="BL274" i="22"/>
  <c r="BL264" i="24"/>
  <c r="BL284" i="27"/>
  <c r="BL279" i="3"/>
  <c r="BL271" i="3"/>
  <c r="BL285" i="28"/>
  <c r="BL266" i="19"/>
  <c r="BL278" i="28"/>
  <c r="BL284" i="25"/>
  <c r="BL282" i="20"/>
  <c r="BL287" i="20"/>
  <c r="BL277" i="21"/>
  <c r="BL268" i="20"/>
  <c r="BL277" i="3"/>
  <c r="BL264" i="3"/>
  <c r="C62" i="4"/>
  <c r="BL275" i="23"/>
  <c r="BL289" i="29"/>
  <c r="BL292" i="28"/>
  <c r="BL281" i="22"/>
  <c r="BL291" i="27"/>
  <c r="BL268" i="22"/>
  <c r="BL279" i="20"/>
  <c r="BL271" i="28"/>
  <c r="BL284" i="28"/>
  <c r="O317" i="29"/>
  <c r="BL270" i="19"/>
  <c r="BL290" i="26"/>
  <c r="BL294" i="3"/>
  <c r="BL291" i="19"/>
  <c r="BL284" i="3"/>
  <c r="BL277" i="25"/>
  <c r="BL289" i="19"/>
  <c r="BL280" i="22"/>
  <c r="BL293" i="23"/>
  <c r="BL287" i="21"/>
  <c r="BL285" i="24"/>
  <c r="BL290" i="29"/>
  <c r="BL274" i="20"/>
  <c r="BL275" i="24"/>
  <c r="BL291" i="28"/>
  <c r="BL283" i="3"/>
  <c r="BL273" i="28"/>
  <c r="BL283" i="29"/>
  <c r="BL274" i="24"/>
  <c r="BL276" i="24"/>
  <c r="BL286" i="21"/>
  <c r="BL290" i="21"/>
  <c r="BL264" i="20"/>
  <c r="O317" i="24"/>
  <c r="BL265" i="19"/>
  <c r="BL289" i="24"/>
  <c r="BL285" i="23"/>
  <c r="BL277" i="29"/>
  <c r="BL270" i="23"/>
  <c r="BL291" i="24"/>
  <c r="BL281" i="29"/>
  <c r="BL268" i="25"/>
  <c r="BL280" i="21"/>
  <c r="P59" i="4"/>
  <c r="BL270" i="24"/>
  <c r="BL287" i="28"/>
  <c r="BL264" i="27"/>
  <c r="BL272" i="21"/>
  <c r="BL289" i="25"/>
  <c r="BL265" i="3"/>
  <c r="BL270" i="21"/>
  <c r="BL288" i="22"/>
  <c r="BL264" i="25"/>
  <c r="BL269" i="26"/>
  <c r="BL273" i="3"/>
  <c r="BL264" i="21"/>
  <c r="BL279" i="24"/>
  <c r="BL269" i="24"/>
  <c r="O317" i="19"/>
  <c r="BL288" i="26"/>
  <c r="BL276" i="22"/>
  <c r="BL269" i="23"/>
  <c r="BL277" i="28"/>
  <c r="BL284" i="20"/>
  <c r="BL276" i="21"/>
  <c r="BL276" i="3"/>
  <c r="BL282" i="26"/>
  <c r="BL270" i="22"/>
  <c r="BL278" i="24"/>
  <c r="BL266" i="25"/>
  <c r="BL286" i="25"/>
  <c r="BL276" i="26"/>
  <c r="BL291" i="25"/>
  <c r="BL265" i="26"/>
  <c r="BL274" i="21"/>
  <c r="BL268" i="23"/>
  <c r="BL275" i="19"/>
  <c r="BL266" i="26"/>
  <c r="BL275" i="3"/>
  <c r="BL289" i="27"/>
  <c r="BL294" i="24"/>
  <c r="BL281" i="20"/>
  <c r="BL268" i="29"/>
  <c r="BL277" i="20"/>
  <c r="BL290" i="22"/>
  <c r="BL271" i="22"/>
  <c r="BL293" i="27"/>
  <c r="BL276" i="25"/>
  <c r="BL281" i="25"/>
  <c r="BL292" i="21"/>
  <c r="BL279" i="23"/>
  <c r="BL282" i="3"/>
  <c r="BL272" i="3"/>
  <c r="BL272" i="26"/>
  <c r="BL275" i="26"/>
  <c r="BL294" i="28"/>
  <c r="BL280" i="29"/>
  <c r="BL273" i="24"/>
  <c r="BL283" i="24"/>
  <c r="O317" i="3"/>
  <c r="BL266" i="24"/>
  <c r="BL292" i="29"/>
  <c r="A62" i="4"/>
  <c r="A77" i="15" s="1"/>
  <c r="B63" i="4"/>
  <c r="C53" i="31" s="1"/>
  <c r="E10" i="8"/>
  <c r="B20" i="9" s="1"/>
  <c r="AA315" i="23"/>
  <c r="A315" i="23" s="1"/>
  <c r="F101" i="10"/>
  <c r="F102" i="10" s="1"/>
  <c r="D44" i="31"/>
  <c r="C69" i="15"/>
  <c r="J366" i="22"/>
  <c r="J367" i="22" s="1"/>
  <c r="J368" i="22" s="1"/>
  <c r="J369" i="22" s="1"/>
  <c r="J370" i="22" s="1"/>
  <c r="J371" i="22" s="1"/>
  <c r="P56" i="22"/>
  <c r="G55" i="22"/>
  <c r="G57" i="3"/>
  <c r="P57" i="29"/>
  <c r="P55" i="3"/>
  <c r="P61" i="3"/>
  <c r="J367" i="29"/>
  <c r="G58" i="29" s="1"/>
  <c r="G57" i="29"/>
  <c r="P55" i="22"/>
  <c r="P58" i="3"/>
  <c r="G55" i="3"/>
  <c r="P56" i="3"/>
  <c r="E62" i="3"/>
  <c r="P59" i="3"/>
  <c r="A61" i="3"/>
  <c r="G58" i="3"/>
  <c r="G56" i="3"/>
  <c r="E61" i="3"/>
  <c r="P62" i="3"/>
  <c r="P60" i="3"/>
  <c r="G59" i="3"/>
  <c r="P57" i="3"/>
  <c r="G217" i="3"/>
  <c r="G377" i="3"/>
  <c r="I377" i="3" s="1"/>
  <c r="C34" i="18" s="1"/>
  <c r="G377" i="25"/>
  <c r="I377" i="25" s="1"/>
  <c r="J34" i="18" s="1"/>
  <c r="G377" i="24"/>
  <c r="I377" i="24" s="1"/>
  <c r="I34" i="18" s="1"/>
  <c r="G377" i="20"/>
  <c r="I377" i="20" s="1"/>
  <c r="E34" i="18" s="1"/>
  <c r="G377" i="29"/>
  <c r="I377" i="29" s="1"/>
  <c r="N34" i="18" s="1"/>
  <c r="R268" i="21"/>
  <c r="AH268" i="21"/>
  <c r="AJ268" i="21" s="1"/>
  <c r="A269" i="21"/>
  <c r="P268" i="21"/>
  <c r="BC268" i="21" s="1"/>
  <c r="AW268" i="21"/>
  <c r="AM266" i="19"/>
  <c r="DL266" i="19" s="1"/>
  <c r="U266" i="19"/>
  <c r="X266" i="19"/>
  <c r="W266" i="19"/>
  <c r="S266" i="19"/>
  <c r="AQ266" i="19"/>
  <c r="AC266" i="19"/>
  <c r="AB266" i="19"/>
  <c r="AA266" i="19"/>
  <c r="Y266" i="19"/>
  <c r="A269" i="27"/>
  <c r="R268" i="27"/>
  <c r="AH268" i="27"/>
  <c r="AJ268" i="27" s="1"/>
  <c r="AW268" i="27"/>
  <c r="P268" i="27"/>
  <c r="BC268" i="27" s="1"/>
  <c r="A269" i="20"/>
  <c r="R268" i="20"/>
  <c r="AH268" i="20"/>
  <c r="AJ268" i="20" s="1"/>
  <c r="P268" i="20"/>
  <c r="BC268" i="20" s="1"/>
  <c r="AW268" i="20"/>
  <c r="AM267" i="25"/>
  <c r="DL267" i="25" s="1"/>
  <c r="W267" i="25"/>
  <c r="X267" i="25"/>
  <c r="U267" i="25"/>
  <c r="S267" i="25"/>
  <c r="AQ267" i="25"/>
  <c r="AB267" i="25"/>
  <c r="AA267" i="25"/>
  <c r="Y267" i="25"/>
  <c r="AC267" i="25"/>
  <c r="R267" i="19"/>
  <c r="AH267" i="19"/>
  <c r="AJ267" i="19" s="1"/>
  <c r="A268" i="19"/>
  <c r="P267" i="19"/>
  <c r="BC267" i="19" s="1"/>
  <c r="AW267" i="19"/>
  <c r="AM267" i="28"/>
  <c r="DL267" i="28" s="1"/>
  <c r="W267" i="28"/>
  <c r="X267" i="28"/>
  <c r="S267" i="28"/>
  <c r="U267" i="28"/>
  <c r="AQ267" i="28"/>
  <c r="AC267" i="28"/>
  <c r="AB267" i="28"/>
  <c r="Y267" i="28"/>
  <c r="AA267" i="28"/>
  <c r="AM267" i="3"/>
  <c r="DL267" i="3" s="1"/>
  <c r="U267" i="3"/>
  <c r="W267" i="3"/>
  <c r="X267" i="3"/>
  <c r="S267" i="3"/>
  <c r="AQ267" i="3"/>
  <c r="AB267" i="3"/>
  <c r="Y267" i="3"/>
  <c r="AC267" i="3"/>
  <c r="AA267" i="3"/>
  <c r="R268" i="28"/>
  <c r="AH268" i="28"/>
  <c r="AJ268" i="28" s="1"/>
  <c r="A269" i="28"/>
  <c r="AW268" i="28"/>
  <c r="P268" i="28"/>
  <c r="BC268" i="28" s="1"/>
  <c r="AM267" i="27"/>
  <c r="DL267" i="27" s="1"/>
  <c r="W267" i="27"/>
  <c r="X267" i="27"/>
  <c r="U267" i="27"/>
  <c r="S267" i="27"/>
  <c r="AQ267" i="27"/>
  <c r="AA267" i="27"/>
  <c r="AC267" i="27"/>
  <c r="Y267" i="27"/>
  <c r="AB267" i="27"/>
  <c r="AM267" i="20"/>
  <c r="DL267" i="20" s="1"/>
  <c r="S267" i="20"/>
  <c r="W267" i="20"/>
  <c r="X267" i="20"/>
  <c r="AQ267" i="20"/>
  <c r="U267" i="20"/>
  <c r="Y267" i="20"/>
  <c r="AA267" i="20"/>
  <c r="AB267" i="20"/>
  <c r="AC267" i="20"/>
  <c r="AM267" i="29"/>
  <c r="DL267" i="29" s="1"/>
  <c r="W267" i="29"/>
  <c r="X267" i="29"/>
  <c r="U267" i="29"/>
  <c r="AQ267" i="29"/>
  <c r="S267" i="29"/>
  <c r="AC267" i="29"/>
  <c r="Y267" i="29"/>
  <c r="AB267" i="29"/>
  <c r="AA267" i="29"/>
  <c r="R268" i="3"/>
  <c r="AH268" i="3"/>
  <c r="AJ268" i="3" s="1"/>
  <c r="A269" i="3"/>
  <c r="AW268" i="3"/>
  <c r="P268" i="3"/>
  <c r="BC268" i="3" s="1"/>
  <c r="A269" i="29"/>
  <c r="R268" i="29"/>
  <c r="AH268" i="29"/>
  <c r="AJ268" i="29" s="1"/>
  <c r="P268" i="29"/>
  <c r="BC268" i="29" s="1"/>
  <c r="AW268" i="29"/>
  <c r="AM267" i="24"/>
  <c r="DL267" i="24" s="1"/>
  <c r="AQ267" i="24"/>
  <c r="X267" i="24"/>
  <c r="W267" i="24"/>
  <c r="U267" i="24"/>
  <c r="S267" i="24"/>
  <c r="AC267" i="24"/>
  <c r="AB267" i="24"/>
  <c r="Y267" i="24"/>
  <c r="AA267" i="24"/>
  <c r="AQ267" i="23"/>
  <c r="S267" i="23"/>
  <c r="AM267" i="23"/>
  <c r="DL267" i="23" s="1"/>
  <c r="X267" i="23"/>
  <c r="U267" i="23"/>
  <c r="W267" i="23"/>
  <c r="AB267" i="23"/>
  <c r="AC267" i="23"/>
  <c r="Y267" i="23"/>
  <c r="AA267" i="23"/>
  <c r="R268" i="26"/>
  <c r="AH268" i="26"/>
  <c r="AJ268" i="26" s="1"/>
  <c r="P268" i="26"/>
  <c r="BC268" i="26" s="1"/>
  <c r="AW268" i="26"/>
  <c r="A269" i="26"/>
  <c r="AM267" i="22"/>
  <c r="DL267" i="22" s="1"/>
  <c r="U267" i="22"/>
  <c r="W267" i="22"/>
  <c r="S267" i="22"/>
  <c r="X267" i="22"/>
  <c r="AQ267" i="22"/>
  <c r="AC267" i="22"/>
  <c r="AA267" i="22"/>
  <c r="Y267" i="22"/>
  <c r="AB267" i="22"/>
  <c r="R268" i="24"/>
  <c r="AH268" i="24"/>
  <c r="AJ268" i="24" s="1"/>
  <c r="A269" i="24"/>
  <c r="AW268" i="24"/>
  <c r="P268" i="24"/>
  <c r="BC268" i="24" s="1"/>
  <c r="R268" i="23"/>
  <c r="AH268" i="23"/>
  <c r="AJ268" i="23" s="1"/>
  <c r="A269" i="23"/>
  <c r="AW268" i="23"/>
  <c r="P268" i="23"/>
  <c r="BC268" i="23" s="1"/>
  <c r="AM267" i="21"/>
  <c r="DL267" i="21" s="1"/>
  <c r="AQ267" i="21"/>
  <c r="S267" i="21"/>
  <c r="W267" i="21"/>
  <c r="U267" i="21"/>
  <c r="X267" i="21"/>
  <c r="AA267" i="21"/>
  <c r="AC267" i="21"/>
  <c r="Y267" i="21"/>
  <c r="AB267" i="21"/>
  <c r="A269" i="22"/>
  <c r="R268" i="22"/>
  <c r="AH268" i="22"/>
  <c r="AJ268" i="22" s="1"/>
  <c r="AW268" i="22"/>
  <c r="P268" i="22"/>
  <c r="BC268" i="22" s="1"/>
  <c r="R268" i="25"/>
  <c r="AH268" i="25"/>
  <c r="AJ268" i="25" s="1"/>
  <c r="A269" i="25"/>
  <c r="P268" i="25"/>
  <c r="BC268" i="25" s="1"/>
  <c r="AW268" i="25"/>
  <c r="AM267" i="26"/>
  <c r="DL267" i="26" s="1"/>
  <c r="AQ267" i="26"/>
  <c r="S267" i="26"/>
  <c r="U267" i="26"/>
  <c r="X267" i="26"/>
  <c r="W267" i="26"/>
  <c r="AB267" i="26"/>
  <c r="Y267" i="26"/>
  <c r="AC267" i="26"/>
  <c r="AA267" i="26"/>
  <c r="F301" i="3"/>
  <c r="I399" i="20"/>
  <c r="A400" i="20"/>
  <c r="B325" i="20"/>
  <c r="I417" i="25"/>
  <c r="B320" i="25"/>
  <c r="A418" i="25"/>
  <c r="I399" i="3"/>
  <c r="A400" i="3"/>
  <c r="A57" i="18" s="1"/>
  <c r="B325" i="3"/>
  <c r="B325" i="27"/>
  <c r="I399" i="27"/>
  <c r="A400" i="27"/>
  <c r="A418" i="24"/>
  <c r="B320" i="24"/>
  <c r="I417" i="24"/>
  <c r="B320" i="19"/>
  <c r="I417" i="19"/>
  <c r="A418" i="19"/>
  <c r="A398" i="26"/>
  <c r="B327" i="26"/>
  <c r="I397" i="26"/>
  <c r="A418" i="29"/>
  <c r="B320" i="29"/>
  <c r="I417" i="29"/>
  <c r="B319" i="26"/>
  <c r="I415" i="26"/>
  <c r="A416" i="26"/>
  <c r="I423" i="23"/>
  <c r="B323" i="23"/>
  <c r="A424" i="23"/>
  <c r="I438" i="22"/>
  <c r="B328" i="22"/>
  <c r="A439" i="22"/>
  <c r="B323" i="24"/>
  <c r="A424" i="24"/>
  <c r="I423" i="24"/>
  <c r="A398" i="28"/>
  <c r="I397" i="28"/>
  <c r="B327" i="28"/>
  <c r="A439" i="23"/>
  <c r="I438" i="23"/>
  <c r="B328" i="23"/>
  <c r="B317" i="29"/>
  <c r="A394" i="29"/>
  <c r="G393" i="29"/>
  <c r="A426" i="3"/>
  <c r="A83" i="18" s="1"/>
  <c r="B324" i="3"/>
  <c r="I425" i="3"/>
  <c r="F152" i="28"/>
  <c r="C22" i="15"/>
  <c r="A424" i="22"/>
  <c r="B323" i="22"/>
  <c r="I423" i="22"/>
  <c r="A394" i="22"/>
  <c r="G393" i="22"/>
  <c r="B317" i="22"/>
  <c r="B324" i="21"/>
  <c r="I425" i="21"/>
  <c r="A426" i="21"/>
  <c r="I423" i="25"/>
  <c r="B323" i="25"/>
  <c r="A424" i="25"/>
  <c r="B315" i="25"/>
  <c r="I388" i="25"/>
  <c r="A389" i="25"/>
  <c r="A396" i="21"/>
  <c r="B326" i="21"/>
  <c r="I395" i="21"/>
  <c r="I415" i="22"/>
  <c r="A416" i="22"/>
  <c r="B319" i="22"/>
  <c r="B322" i="21"/>
  <c r="A422" i="21"/>
  <c r="I421" i="21"/>
  <c r="B316" i="26"/>
  <c r="G390" i="26"/>
  <c r="I390" i="26" s="1"/>
  <c r="A391" i="26"/>
  <c r="A391" i="21"/>
  <c r="B316" i="21"/>
  <c r="G390" i="21"/>
  <c r="I390" i="21" s="1"/>
  <c r="A424" i="28"/>
  <c r="I423" i="28"/>
  <c r="B323" i="28"/>
  <c r="G390" i="23"/>
  <c r="I390" i="23" s="1"/>
  <c r="B316" i="23"/>
  <c r="A391" i="23"/>
  <c r="C23" i="15"/>
  <c r="F152" i="29"/>
  <c r="I419" i="29"/>
  <c r="A420" i="29"/>
  <c r="B321" i="29"/>
  <c r="G390" i="3"/>
  <c r="I390" i="3" s="1"/>
  <c r="A391" i="3"/>
  <c r="A48" i="18" s="1"/>
  <c r="I399" i="24"/>
  <c r="B325" i="24"/>
  <c r="A400" i="24"/>
  <c r="B321" i="3"/>
  <c r="A420" i="3"/>
  <c r="A77" i="18" s="1"/>
  <c r="I419" i="3"/>
  <c r="I419" i="28"/>
  <c r="B321" i="28"/>
  <c r="A420" i="28"/>
  <c r="B328" i="21"/>
  <c r="I438" i="21"/>
  <c r="A439" i="21"/>
  <c r="A422" i="24"/>
  <c r="B322" i="24"/>
  <c r="I421" i="24"/>
  <c r="I425" i="19"/>
  <c r="A426" i="19"/>
  <c r="B324" i="19"/>
  <c r="A400" i="25"/>
  <c r="I399" i="25"/>
  <c r="B325" i="25"/>
  <c r="A396" i="29"/>
  <c r="B326" i="29"/>
  <c r="I395" i="29"/>
  <c r="F152" i="23"/>
  <c r="F152" i="21"/>
  <c r="I421" i="29"/>
  <c r="B322" i="29"/>
  <c r="A422" i="29"/>
  <c r="B315" i="29"/>
  <c r="I388" i="29"/>
  <c r="A389" i="29"/>
  <c r="I417" i="22"/>
  <c r="B320" i="22"/>
  <c r="A418" i="22"/>
  <c r="I440" i="25"/>
  <c r="B329" i="25"/>
  <c r="A441" i="25"/>
  <c r="I421" i="22"/>
  <c r="B322" i="22"/>
  <c r="A422" i="22"/>
  <c r="A398" i="22"/>
  <c r="B327" i="22"/>
  <c r="I397" i="22"/>
  <c r="B319" i="27"/>
  <c r="A416" i="27"/>
  <c r="I415" i="27"/>
  <c r="G390" i="22"/>
  <c r="I390" i="22" s="1"/>
  <c r="A391" i="22"/>
  <c r="B316" i="22"/>
  <c r="I417" i="3"/>
  <c r="A418" i="3"/>
  <c r="A75" i="18" s="1"/>
  <c r="B320" i="3"/>
  <c r="B326" i="3"/>
  <c r="I395" i="3"/>
  <c r="A396" i="3"/>
  <c r="A53" i="18" s="1"/>
  <c r="A389" i="27"/>
  <c r="I388" i="27"/>
  <c r="B315" i="27"/>
  <c r="B320" i="26"/>
  <c r="I417" i="26"/>
  <c r="A418" i="26"/>
  <c r="C26" i="15"/>
  <c r="F152" i="20"/>
  <c r="A422" i="25"/>
  <c r="B322" i="25"/>
  <c r="I421" i="25"/>
  <c r="B328" i="27"/>
  <c r="A439" i="27"/>
  <c r="I438" i="27"/>
  <c r="I440" i="20"/>
  <c r="B329" i="20"/>
  <c r="A441" i="20"/>
  <c r="I440" i="3"/>
  <c r="A441" i="3"/>
  <c r="A98" i="18" s="1"/>
  <c r="B329" i="3"/>
  <c r="A422" i="3"/>
  <c r="A79" i="18" s="1"/>
  <c r="I421" i="3"/>
  <c r="B322" i="3"/>
  <c r="I419" i="21"/>
  <c r="B321" i="21"/>
  <c r="A420" i="21"/>
  <c r="I395" i="25"/>
  <c r="A396" i="25"/>
  <c r="B326" i="25"/>
  <c r="G390" i="27"/>
  <c r="I390" i="27" s="1"/>
  <c r="B316" i="27"/>
  <c r="A391" i="27"/>
  <c r="I399" i="21"/>
  <c r="B325" i="21"/>
  <c r="A400" i="21"/>
  <c r="A400" i="28"/>
  <c r="I399" i="28"/>
  <c r="B325" i="28"/>
  <c r="I425" i="23"/>
  <c r="B324" i="23"/>
  <c r="A426" i="23"/>
  <c r="A389" i="28"/>
  <c r="I388" i="28"/>
  <c r="B315" i="28"/>
  <c r="I423" i="20"/>
  <c r="B323" i="20"/>
  <c r="A424" i="20"/>
  <c r="B319" i="29"/>
  <c r="I415" i="29"/>
  <c r="A416" i="29"/>
  <c r="I417" i="23"/>
  <c r="B320" i="23"/>
  <c r="A418" i="23"/>
  <c r="A420" i="27"/>
  <c r="B321" i="27"/>
  <c r="I419" i="27"/>
  <c r="A441" i="28"/>
  <c r="B329" i="28"/>
  <c r="I440" i="28"/>
  <c r="A398" i="20"/>
  <c r="I397" i="20"/>
  <c r="B327" i="20"/>
  <c r="F152" i="3"/>
  <c r="A420" i="26"/>
  <c r="B321" i="26"/>
  <c r="I419" i="26"/>
  <c r="A396" i="22"/>
  <c r="I395" i="22"/>
  <c r="B326" i="22"/>
  <c r="F301" i="29"/>
  <c r="B319" i="24"/>
  <c r="A416" i="24"/>
  <c r="I415" i="24"/>
  <c r="A424" i="27"/>
  <c r="B323" i="27"/>
  <c r="I423" i="27"/>
  <c r="I423" i="3"/>
  <c r="B323" i="3"/>
  <c r="A424" i="3"/>
  <c r="A81" i="18" s="1"/>
  <c r="B328" i="26"/>
  <c r="A439" i="26"/>
  <c r="I438" i="26"/>
  <c r="I440" i="23"/>
  <c r="A441" i="23"/>
  <c r="B329" i="23"/>
  <c r="A416" i="3"/>
  <c r="A73" i="18" s="1"/>
  <c r="B319" i="3"/>
  <c r="I415" i="3"/>
  <c r="I438" i="3"/>
  <c r="A439" i="3"/>
  <c r="A96" i="18" s="1"/>
  <c r="B328" i="3"/>
  <c r="B321" i="19"/>
  <c r="I419" i="19"/>
  <c r="A420" i="19"/>
  <c r="I397" i="3"/>
  <c r="A398" i="3"/>
  <c r="A55" i="18" s="1"/>
  <c r="B327" i="3"/>
  <c r="I421" i="28"/>
  <c r="A422" i="28"/>
  <c r="B322" i="28"/>
  <c r="B329" i="26"/>
  <c r="I440" i="26"/>
  <c r="A441" i="26"/>
  <c r="B315" i="23"/>
  <c r="I388" i="23"/>
  <c r="A389" i="23"/>
  <c r="G393" i="21"/>
  <c r="B317" i="21"/>
  <c r="A394" i="21"/>
  <c r="A398" i="29"/>
  <c r="B327" i="29"/>
  <c r="I397" i="29"/>
  <c r="B324" i="25"/>
  <c r="A426" i="25"/>
  <c r="I425" i="25"/>
  <c r="A418" i="28" l="1"/>
  <c r="I417" i="28"/>
  <c r="M74" i="18" s="1"/>
  <c r="D105" i="31"/>
  <c r="C128" i="15"/>
  <c r="C124" i="15"/>
  <c r="D101" i="31"/>
  <c r="S213" i="26"/>
  <c r="S213" i="25"/>
  <c r="S213" i="27"/>
  <c r="S213" i="29"/>
  <c r="S213" i="3"/>
  <c r="S213" i="22"/>
  <c r="S213" i="19"/>
  <c r="S213" i="24"/>
  <c r="S213" i="20"/>
  <c r="S213" i="28"/>
  <c r="S213" i="21"/>
  <c r="S213" i="23"/>
  <c r="P57" i="22"/>
  <c r="I438" i="25"/>
  <c r="A439" i="25"/>
  <c r="G377" i="27"/>
  <c r="I377" i="27" s="1"/>
  <c r="L34" i="18" s="1"/>
  <c r="H374" i="29"/>
  <c r="H374" i="23"/>
  <c r="B321" i="25"/>
  <c r="H374" i="26"/>
  <c r="H374" i="27"/>
  <c r="H374" i="3"/>
  <c r="H374" i="21"/>
  <c r="H374" i="24"/>
  <c r="A420" i="25"/>
  <c r="M420" i="25" s="1"/>
  <c r="G374" i="19"/>
  <c r="F29" i="4"/>
  <c r="G377" i="28"/>
  <c r="I377" i="28" s="1"/>
  <c r="M34" i="18" s="1"/>
  <c r="G374" i="28"/>
  <c r="G374" i="20"/>
  <c r="G374" i="21"/>
  <c r="G374" i="29"/>
  <c r="H374" i="20"/>
  <c r="G374" i="23"/>
  <c r="I374" i="23" s="1"/>
  <c r="H31" i="18" s="1"/>
  <c r="H374" i="22"/>
  <c r="G374" i="27"/>
  <c r="G374" i="26"/>
  <c r="H374" i="19"/>
  <c r="G374" i="24"/>
  <c r="G374" i="22"/>
  <c r="G374" i="3"/>
  <c r="G374" i="25"/>
  <c r="I374" i="25" s="1"/>
  <c r="J31" i="18" s="1"/>
  <c r="H374" i="28"/>
  <c r="E152" i="3"/>
  <c r="C46" i="15"/>
  <c r="B328" i="19"/>
  <c r="B327" i="21"/>
  <c r="C43" i="15"/>
  <c r="AA291" i="10"/>
  <c r="B17" i="9"/>
  <c r="B16" i="9"/>
  <c r="A439" i="19"/>
  <c r="M439" i="19" s="1"/>
  <c r="G393" i="20"/>
  <c r="B317" i="20"/>
  <c r="I438" i="28"/>
  <c r="M95" i="18" s="1"/>
  <c r="I397" i="21"/>
  <c r="H437" i="21" s="1"/>
  <c r="I437" i="21" s="1"/>
  <c r="I423" i="19"/>
  <c r="D80" i="18" s="1"/>
  <c r="B323" i="19"/>
  <c r="C123" i="15"/>
  <c r="D100" i="31"/>
  <c r="B323" i="26"/>
  <c r="A424" i="26"/>
  <c r="M424" i="26" s="1"/>
  <c r="Q213" i="28"/>
  <c r="O327" i="23"/>
  <c r="O327" i="24"/>
  <c r="Q213" i="19"/>
  <c r="Q213" i="20"/>
  <c r="Q213" i="25"/>
  <c r="Q213" i="29"/>
  <c r="O327" i="28"/>
  <c r="Q213" i="23"/>
  <c r="Q213" i="27"/>
  <c r="O327" i="21"/>
  <c r="O327" i="3"/>
  <c r="Q213" i="24"/>
  <c r="Q213" i="21"/>
  <c r="D61" i="8"/>
  <c r="Q213" i="26"/>
  <c r="F113" i="4"/>
  <c r="DJ263" i="19" s="1"/>
  <c r="O327" i="27"/>
  <c r="O327" i="20"/>
  <c r="O327" i="22"/>
  <c r="O327" i="26"/>
  <c r="O327" i="25"/>
  <c r="Q213" i="22"/>
  <c r="F114" i="4"/>
  <c r="O327" i="19"/>
  <c r="O327" i="29"/>
  <c r="Q213" i="3"/>
  <c r="I440" i="27"/>
  <c r="L97" i="18" s="1"/>
  <c r="B329" i="27"/>
  <c r="A418" i="21"/>
  <c r="M418" i="21" s="1"/>
  <c r="B328" i="24"/>
  <c r="B320" i="21"/>
  <c r="A439" i="24"/>
  <c r="M439" i="24" s="1"/>
  <c r="B328" i="28"/>
  <c r="I440" i="24"/>
  <c r="I97" i="18" s="1"/>
  <c r="G393" i="27"/>
  <c r="A394" i="27"/>
  <c r="A389" i="26"/>
  <c r="B315" i="24"/>
  <c r="I388" i="24"/>
  <c r="H392" i="24" s="1"/>
  <c r="I397" i="24"/>
  <c r="M398" i="24" s="1"/>
  <c r="B327" i="24"/>
  <c r="A391" i="29"/>
  <c r="G390" i="29"/>
  <c r="I390" i="29" s="1"/>
  <c r="N47" i="18" s="1"/>
  <c r="G390" i="28"/>
  <c r="I390" i="28" s="1"/>
  <c r="M47" i="18" s="1"/>
  <c r="G393" i="25"/>
  <c r="F301" i="22"/>
  <c r="A396" i="23"/>
  <c r="B316" i="28"/>
  <c r="A394" i="25"/>
  <c r="I395" i="23"/>
  <c r="H52" i="18" s="1"/>
  <c r="B317" i="19"/>
  <c r="G393" i="19"/>
  <c r="A400" i="22"/>
  <c r="I423" i="29"/>
  <c r="M427" i="29" s="1"/>
  <c r="I395" i="26"/>
  <c r="H437" i="26" s="1"/>
  <c r="I437" i="26" s="1"/>
  <c r="I395" i="24"/>
  <c r="I52" i="18" s="1"/>
  <c r="I397" i="27"/>
  <c r="L54" i="18" s="1"/>
  <c r="A424" i="29"/>
  <c r="A396" i="26"/>
  <c r="I421" i="19"/>
  <c r="A396" i="24"/>
  <c r="B327" i="27"/>
  <c r="A422" i="19"/>
  <c r="I388" i="26"/>
  <c r="K45" i="18" s="1"/>
  <c r="I415" i="19"/>
  <c r="D72" i="18" s="1"/>
  <c r="B322" i="26"/>
  <c r="A416" i="19"/>
  <c r="I421" i="26"/>
  <c r="K78" i="18" s="1"/>
  <c r="I399" i="22"/>
  <c r="I388" i="20"/>
  <c r="M389" i="20" s="1"/>
  <c r="I397" i="19"/>
  <c r="H437" i="19" s="1"/>
  <c r="I437" i="19" s="1"/>
  <c r="B315" i="20"/>
  <c r="A394" i="28"/>
  <c r="C21" i="15"/>
  <c r="A439" i="29"/>
  <c r="I438" i="29"/>
  <c r="N95" i="18" s="1"/>
  <c r="F301" i="27"/>
  <c r="A391" i="24"/>
  <c r="M391" i="24" s="1"/>
  <c r="B316" i="24"/>
  <c r="I425" i="27"/>
  <c r="M427" i="27" s="1"/>
  <c r="G393" i="28"/>
  <c r="B324" i="27"/>
  <c r="B329" i="19"/>
  <c r="I440" i="19"/>
  <c r="H155" i="19" s="1"/>
  <c r="A416" i="21"/>
  <c r="M416" i="21" s="1"/>
  <c r="B319" i="21"/>
  <c r="B323" i="21"/>
  <c r="B324" i="26"/>
  <c r="A426" i="28"/>
  <c r="M426" i="28" s="1"/>
  <c r="A426" i="26"/>
  <c r="M426" i="26" s="1"/>
  <c r="A400" i="26"/>
  <c r="M400" i="26" s="1"/>
  <c r="B324" i="28"/>
  <c r="G390" i="25"/>
  <c r="I390" i="25" s="1"/>
  <c r="M391" i="25" s="1"/>
  <c r="B327" i="23"/>
  <c r="B326" i="28"/>
  <c r="B316" i="25"/>
  <c r="A396" i="28"/>
  <c r="M396" i="28" s="1"/>
  <c r="B317" i="26"/>
  <c r="I425" i="24"/>
  <c r="M427" i="24" s="1"/>
  <c r="B329" i="21"/>
  <c r="G393" i="26"/>
  <c r="B324" i="24"/>
  <c r="A441" i="21"/>
  <c r="M441" i="21" s="1"/>
  <c r="G393" i="23"/>
  <c r="A394" i="23"/>
  <c r="A398" i="23"/>
  <c r="M398" i="23" s="1"/>
  <c r="B321" i="22"/>
  <c r="G393" i="3"/>
  <c r="A441" i="24"/>
  <c r="I419" i="22"/>
  <c r="G76" i="18" s="1"/>
  <c r="I417" i="20"/>
  <c r="E74" i="18" s="1"/>
  <c r="B317" i="3"/>
  <c r="B326" i="19"/>
  <c r="A391" i="20"/>
  <c r="A416" i="28"/>
  <c r="A396" i="19"/>
  <c r="M396" i="19" s="1"/>
  <c r="G390" i="20"/>
  <c r="I390" i="20" s="1"/>
  <c r="E47" i="18" s="1"/>
  <c r="I415" i="28"/>
  <c r="M72" i="18" s="1"/>
  <c r="F302" i="24"/>
  <c r="I438" i="20"/>
  <c r="E95" i="18" s="1"/>
  <c r="A439" i="20"/>
  <c r="A441" i="22"/>
  <c r="M441" i="22" s="1"/>
  <c r="F301" i="26"/>
  <c r="A400" i="19"/>
  <c r="M400" i="19" s="1"/>
  <c r="B326" i="27"/>
  <c r="I395" i="27"/>
  <c r="A420" i="24"/>
  <c r="M420" i="24" s="1"/>
  <c r="B321" i="24"/>
  <c r="A398" i="19"/>
  <c r="B325" i="29"/>
  <c r="A389" i="21"/>
  <c r="M389" i="21" s="1"/>
  <c r="I397" i="25"/>
  <c r="M398" i="25" s="1"/>
  <c r="B327" i="25"/>
  <c r="A400" i="29"/>
  <c r="M400" i="29" s="1"/>
  <c r="B321" i="23"/>
  <c r="A420" i="23"/>
  <c r="M420" i="23" s="1"/>
  <c r="F301" i="24"/>
  <c r="B315" i="21"/>
  <c r="I421" i="23"/>
  <c r="H78" i="18" s="1"/>
  <c r="A396" i="20"/>
  <c r="M396" i="20" s="1"/>
  <c r="G393" i="24"/>
  <c r="A394" i="24"/>
  <c r="B322" i="23"/>
  <c r="I423" i="21"/>
  <c r="M424" i="21" s="1"/>
  <c r="B325" i="26"/>
  <c r="B325" i="19"/>
  <c r="B329" i="22"/>
  <c r="I417" i="27"/>
  <c r="L74" i="18" s="1"/>
  <c r="A418" i="27"/>
  <c r="I415" i="20"/>
  <c r="E72" i="18" s="1"/>
  <c r="B322" i="20"/>
  <c r="A416" i="20"/>
  <c r="B319" i="23"/>
  <c r="A422" i="20"/>
  <c r="M422" i="20" s="1"/>
  <c r="B319" i="25"/>
  <c r="I415" i="23"/>
  <c r="H72" i="18" s="1"/>
  <c r="I415" i="25"/>
  <c r="J72" i="18" s="1"/>
  <c r="G390" i="19"/>
  <c r="I390" i="19" s="1"/>
  <c r="D47" i="18" s="1"/>
  <c r="F301" i="19"/>
  <c r="B324" i="22"/>
  <c r="B322" i="27"/>
  <c r="A391" i="19"/>
  <c r="A426" i="22"/>
  <c r="M426" i="22" s="1"/>
  <c r="A422" i="27"/>
  <c r="M422" i="27" s="1"/>
  <c r="B315" i="22"/>
  <c r="A426" i="29"/>
  <c r="M426" i="29" s="1"/>
  <c r="I388" i="22"/>
  <c r="H392" i="22" s="1"/>
  <c r="B321" i="20"/>
  <c r="A420" i="20"/>
  <c r="M420" i="20" s="1"/>
  <c r="B326" i="20"/>
  <c r="I399" i="23"/>
  <c r="F301" i="25"/>
  <c r="B325" i="23"/>
  <c r="B324" i="29"/>
  <c r="I440" i="29"/>
  <c r="H155" i="29" s="1"/>
  <c r="B329" i="29"/>
  <c r="B320" i="20"/>
  <c r="A426" i="20"/>
  <c r="M426" i="20" s="1"/>
  <c r="B324" i="20"/>
  <c r="I383" i="26"/>
  <c r="K40" i="18" s="1"/>
  <c r="O40" i="18" s="1"/>
  <c r="E152" i="29"/>
  <c r="E152" i="19"/>
  <c r="E152" i="22"/>
  <c r="F302" i="27"/>
  <c r="F302" i="21"/>
  <c r="F302" i="22"/>
  <c r="F302" i="23"/>
  <c r="E152" i="25"/>
  <c r="E152" i="23"/>
  <c r="E152" i="28"/>
  <c r="E152" i="21"/>
  <c r="F302" i="20"/>
  <c r="F302" i="25"/>
  <c r="F302" i="29"/>
  <c r="E152" i="24"/>
  <c r="F302" i="3"/>
  <c r="F302" i="28"/>
  <c r="F302" i="26"/>
  <c r="E152" i="20"/>
  <c r="F302" i="19"/>
  <c r="E152" i="27"/>
  <c r="E152" i="26"/>
  <c r="O39" i="18"/>
  <c r="O41" i="18"/>
  <c r="M450" i="23"/>
  <c r="M450" i="24"/>
  <c r="M450" i="21"/>
  <c r="M450" i="26"/>
  <c r="M449" i="27"/>
  <c r="M449" i="21"/>
  <c r="M450" i="22"/>
  <c r="M449" i="3"/>
  <c r="M449" i="20"/>
  <c r="M449" i="26"/>
  <c r="M450" i="19"/>
  <c r="M450" i="25"/>
  <c r="M449" i="25"/>
  <c r="M449" i="28"/>
  <c r="M449" i="24"/>
  <c r="M449" i="19"/>
  <c r="M449" i="29"/>
  <c r="M449" i="23"/>
  <c r="M450" i="28"/>
  <c r="M450" i="3"/>
  <c r="M449" i="22"/>
  <c r="M450" i="29"/>
  <c r="M450" i="20"/>
  <c r="M450" i="27"/>
  <c r="M11" i="9"/>
  <c r="L11" i="9"/>
  <c r="K61" i="4"/>
  <c r="N11" i="9"/>
  <c r="G392" i="29"/>
  <c r="C77" i="15"/>
  <c r="G392" i="20"/>
  <c r="G392" i="28"/>
  <c r="G392" i="21"/>
  <c r="G392" i="19"/>
  <c r="G392" i="23"/>
  <c r="G392" i="22"/>
  <c r="D52" i="31"/>
  <c r="G392" i="26"/>
  <c r="G392" i="24"/>
  <c r="G392" i="3"/>
  <c r="G392" i="27"/>
  <c r="G392" i="25"/>
  <c r="H373" i="27"/>
  <c r="H373" i="23"/>
  <c r="H373" i="25"/>
  <c r="H373" i="24"/>
  <c r="H373" i="28"/>
  <c r="H373" i="29"/>
  <c r="H373" i="19"/>
  <c r="H373" i="21"/>
  <c r="H373" i="22"/>
  <c r="H373" i="26"/>
  <c r="H373" i="3"/>
  <c r="H373" i="20"/>
  <c r="C54" i="4"/>
  <c r="B53" i="4"/>
  <c r="C45" i="31" s="1"/>
  <c r="G57" i="22"/>
  <c r="J368" i="29"/>
  <c r="P58" i="29"/>
  <c r="P60" i="22"/>
  <c r="P61" i="22"/>
  <c r="E61" i="22"/>
  <c r="P58" i="22"/>
  <c r="AM268" i="22"/>
  <c r="DL268" i="22" s="1"/>
  <c r="AQ268" i="22"/>
  <c r="U268" i="22"/>
  <c r="X268" i="22"/>
  <c r="S268" i="22"/>
  <c r="W268" i="22"/>
  <c r="AB268" i="22"/>
  <c r="AC268" i="22"/>
  <c r="AA268" i="22"/>
  <c r="Y268" i="22"/>
  <c r="A270" i="23"/>
  <c r="R269" i="23"/>
  <c r="AH269" i="23"/>
  <c r="AJ269" i="23" s="1"/>
  <c r="P269" i="23"/>
  <c r="BC269" i="23" s="1"/>
  <c r="AW269" i="23"/>
  <c r="AM268" i="24"/>
  <c r="DL268" i="24" s="1"/>
  <c r="AQ268" i="24"/>
  <c r="X268" i="24"/>
  <c r="S268" i="24"/>
  <c r="W268" i="24"/>
  <c r="U268" i="24"/>
  <c r="AC268" i="24"/>
  <c r="AA268" i="24"/>
  <c r="Y268" i="24"/>
  <c r="AB268" i="24"/>
  <c r="A270" i="25"/>
  <c r="R269" i="25"/>
  <c r="AH269" i="25"/>
  <c r="AJ269" i="25" s="1"/>
  <c r="P269" i="25"/>
  <c r="BC269" i="25" s="1"/>
  <c r="AW269" i="25"/>
  <c r="R269" i="22"/>
  <c r="AH269" i="22"/>
  <c r="AJ269" i="22" s="1"/>
  <c r="A270" i="22"/>
  <c r="P269" i="22"/>
  <c r="BC269" i="22" s="1"/>
  <c r="AW269" i="22"/>
  <c r="AM268" i="26"/>
  <c r="DL268" i="26" s="1"/>
  <c r="W268" i="26"/>
  <c r="U268" i="26"/>
  <c r="AQ268" i="26"/>
  <c r="S268" i="26"/>
  <c r="X268" i="26"/>
  <c r="AA268" i="26"/>
  <c r="AB268" i="26"/>
  <c r="AC268" i="26"/>
  <c r="Y268" i="26"/>
  <c r="AM268" i="3"/>
  <c r="DL268" i="3" s="1"/>
  <c r="U268" i="3"/>
  <c r="W268" i="3"/>
  <c r="X268" i="3"/>
  <c r="AQ268" i="3"/>
  <c r="S268" i="3"/>
  <c r="AB268" i="3"/>
  <c r="AC268" i="3"/>
  <c r="Y268" i="3"/>
  <c r="AA268" i="3"/>
  <c r="AM268" i="23"/>
  <c r="DL268" i="23" s="1"/>
  <c r="W268" i="23"/>
  <c r="X268" i="23"/>
  <c r="AQ268" i="23"/>
  <c r="U268" i="23"/>
  <c r="S268" i="23"/>
  <c r="AB268" i="23"/>
  <c r="Y268" i="23"/>
  <c r="AA268" i="23"/>
  <c r="AC268" i="23"/>
  <c r="AM268" i="29"/>
  <c r="DL268" i="29" s="1"/>
  <c r="X268" i="29"/>
  <c r="W268" i="29"/>
  <c r="AQ268" i="29"/>
  <c r="S268" i="29"/>
  <c r="U268" i="29"/>
  <c r="AA268" i="29"/>
  <c r="AB268" i="29"/>
  <c r="AC268" i="29"/>
  <c r="Y268" i="29"/>
  <c r="A269" i="19"/>
  <c r="R268" i="19"/>
  <c r="AH268" i="19"/>
  <c r="AJ268" i="19" s="1"/>
  <c r="P268" i="19"/>
  <c r="BC268" i="19" s="1"/>
  <c r="AW268" i="19"/>
  <c r="AM268" i="25"/>
  <c r="DL268" i="25" s="1"/>
  <c r="X268" i="25"/>
  <c r="W268" i="25"/>
  <c r="S268" i="25"/>
  <c r="AQ268" i="25"/>
  <c r="U268" i="25"/>
  <c r="Y268" i="25"/>
  <c r="AB268" i="25"/>
  <c r="AC268" i="25"/>
  <c r="AA268" i="25"/>
  <c r="R269" i="29"/>
  <c r="AH269" i="29"/>
  <c r="AJ269" i="29" s="1"/>
  <c r="A270" i="29"/>
  <c r="P269" i="29"/>
  <c r="BC269" i="29" s="1"/>
  <c r="AW269" i="29"/>
  <c r="R269" i="26"/>
  <c r="AH269" i="26"/>
  <c r="AJ269" i="26" s="1"/>
  <c r="A270" i="26"/>
  <c r="AW269" i="26"/>
  <c r="P269" i="26"/>
  <c r="BC269" i="26" s="1"/>
  <c r="AM267" i="19"/>
  <c r="DL267" i="19" s="1"/>
  <c r="W267" i="19"/>
  <c r="X267" i="19"/>
  <c r="S267" i="19"/>
  <c r="U267" i="19"/>
  <c r="AQ267" i="19"/>
  <c r="Y267" i="19"/>
  <c r="AA267" i="19"/>
  <c r="AB267" i="19"/>
  <c r="AC267" i="19"/>
  <c r="AM268" i="27"/>
  <c r="DL268" i="27" s="1"/>
  <c r="U268" i="27"/>
  <c r="X268" i="27"/>
  <c r="AQ268" i="27"/>
  <c r="S268" i="27"/>
  <c r="W268" i="27"/>
  <c r="AC268" i="27"/>
  <c r="AA268" i="27"/>
  <c r="Y268" i="27"/>
  <c r="AB268" i="27"/>
  <c r="AH269" i="21"/>
  <c r="AJ269" i="21" s="1"/>
  <c r="A270" i="21"/>
  <c r="R269" i="21"/>
  <c r="AW269" i="21"/>
  <c r="P269" i="21"/>
  <c r="BC269" i="21" s="1"/>
  <c r="AH269" i="28"/>
  <c r="AJ269" i="28" s="1"/>
  <c r="A270" i="28"/>
  <c r="R269" i="28"/>
  <c r="AW269" i="28"/>
  <c r="P269" i="28"/>
  <c r="BC269" i="28" s="1"/>
  <c r="R269" i="27"/>
  <c r="AH269" i="27"/>
  <c r="AJ269" i="27" s="1"/>
  <c r="A270" i="27"/>
  <c r="AW269" i="27"/>
  <c r="P269" i="27"/>
  <c r="BC269" i="27" s="1"/>
  <c r="R269" i="24"/>
  <c r="AH269" i="24"/>
  <c r="AJ269" i="24" s="1"/>
  <c r="A270" i="24"/>
  <c r="AW269" i="24"/>
  <c r="P269" i="24"/>
  <c r="BC269" i="24" s="1"/>
  <c r="AM268" i="20"/>
  <c r="DL268" i="20" s="1"/>
  <c r="U268" i="20"/>
  <c r="W268" i="20"/>
  <c r="AQ268" i="20"/>
  <c r="S268" i="20"/>
  <c r="X268" i="20"/>
  <c r="AA268" i="20"/>
  <c r="Y268" i="20"/>
  <c r="AC268" i="20"/>
  <c r="AB268" i="20"/>
  <c r="AM268" i="21"/>
  <c r="DL268" i="21" s="1"/>
  <c r="U268" i="21"/>
  <c r="X268" i="21"/>
  <c r="W268" i="21"/>
  <c r="AQ268" i="21"/>
  <c r="S268" i="21"/>
  <c r="AA268" i="21"/>
  <c r="AC268" i="21"/>
  <c r="Y268" i="21"/>
  <c r="AB268" i="21"/>
  <c r="A270" i="3"/>
  <c r="R269" i="3"/>
  <c r="AH269" i="3"/>
  <c r="AJ269" i="3" s="1"/>
  <c r="AW269" i="3"/>
  <c r="P269" i="3"/>
  <c r="BC269" i="3" s="1"/>
  <c r="AM268" i="28"/>
  <c r="DL268" i="28" s="1"/>
  <c r="S268" i="28"/>
  <c r="U268" i="28"/>
  <c r="W268" i="28"/>
  <c r="X268" i="28"/>
  <c r="AQ268" i="28"/>
  <c r="AB268" i="28"/>
  <c r="AC268" i="28"/>
  <c r="Y268" i="28"/>
  <c r="AA268" i="28"/>
  <c r="R269" i="20"/>
  <c r="AH269" i="20"/>
  <c r="AJ269" i="20" s="1"/>
  <c r="A270" i="20"/>
  <c r="AW269" i="20"/>
  <c r="P269" i="20"/>
  <c r="BC269" i="20" s="1"/>
  <c r="N54" i="18"/>
  <c r="M398" i="29"/>
  <c r="M441" i="26"/>
  <c r="H155" i="26"/>
  <c r="K97" i="18"/>
  <c r="K80" i="18"/>
  <c r="C72" i="18"/>
  <c r="M416" i="3"/>
  <c r="M414" i="3"/>
  <c r="H97" i="18"/>
  <c r="H155" i="23"/>
  <c r="M441" i="23"/>
  <c r="M420" i="27"/>
  <c r="L76" i="18"/>
  <c r="M418" i="23"/>
  <c r="H74" i="18"/>
  <c r="M396" i="25"/>
  <c r="J52" i="18"/>
  <c r="L95" i="18"/>
  <c r="M439" i="27"/>
  <c r="M418" i="22"/>
  <c r="G74" i="18"/>
  <c r="K82" i="18"/>
  <c r="M396" i="29"/>
  <c r="N52" i="18"/>
  <c r="H437" i="29"/>
  <c r="I437" i="29" s="1"/>
  <c r="J56" i="18"/>
  <c r="M400" i="25"/>
  <c r="M426" i="19"/>
  <c r="D82" i="18"/>
  <c r="M420" i="29"/>
  <c r="N76" i="18"/>
  <c r="H47" i="18"/>
  <c r="M391" i="23"/>
  <c r="M422" i="21"/>
  <c r="F78" i="18"/>
  <c r="H155" i="21"/>
  <c r="F97" i="18"/>
  <c r="M426" i="21"/>
  <c r="F82" i="18"/>
  <c r="G82" i="18"/>
  <c r="K72" i="18"/>
  <c r="M416" i="26"/>
  <c r="L78" i="18"/>
  <c r="H45" i="18"/>
  <c r="M389" i="23"/>
  <c r="H392" i="23"/>
  <c r="C54" i="18"/>
  <c r="M398" i="3"/>
  <c r="L80" i="18"/>
  <c r="M424" i="27"/>
  <c r="G52" i="18"/>
  <c r="M396" i="22"/>
  <c r="M52" i="18"/>
  <c r="H437" i="28"/>
  <c r="I437" i="28" s="1"/>
  <c r="K76" i="18"/>
  <c r="M420" i="26"/>
  <c r="E54" i="18"/>
  <c r="M398" i="20"/>
  <c r="E82" i="18"/>
  <c r="N72" i="18"/>
  <c r="M416" i="29"/>
  <c r="E80" i="18"/>
  <c r="M424" i="20"/>
  <c r="M56" i="18"/>
  <c r="M400" i="28"/>
  <c r="F45" i="18"/>
  <c r="H392" i="21"/>
  <c r="L45" i="18"/>
  <c r="M389" i="27"/>
  <c r="H392" i="27"/>
  <c r="M391" i="22"/>
  <c r="G47" i="18"/>
  <c r="M398" i="22"/>
  <c r="G54" i="18"/>
  <c r="J97" i="18"/>
  <c r="M441" i="25"/>
  <c r="H155" i="25"/>
  <c r="I76" i="18"/>
  <c r="I78" i="18"/>
  <c r="M422" i="24"/>
  <c r="F95" i="18"/>
  <c r="M439" i="21"/>
  <c r="M427" i="28"/>
  <c r="M76" i="18"/>
  <c r="M420" i="28"/>
  <c r="C47" i="18"/>
  <c r="M391" i="3"/>
  <c r="H392" i="3"/>
  <c r="H76" i="18"/>
  <c r="I47" i="18"/>
  <c r="M80" i="18"/>
  <c r="M424" i="28"/>
  <c r="I95" i="18"/>
  <c r="M398" i="28"/>
  <c r="M54" i="18"/>
  <c r="K54" i="18"/>
  <c r="M398" i="26"/>
  <c r="D74" i="18"/>
  <c r="M418" i="19"/>
  <c r="I74" i="18"/>
  <c r="M418" i="24"/>
  <c r="E56" i="18"/>
  <c r="M400" i="20"/>
  <c r="E76" i="18"/>
  <c r="M427" i="20"/>
  <c r="J82" i="18"/>
  <c r="M426" i="25"/>
  <c r="D95" i="18"/>
  <c r="M422" i="28"/>
  <c r="M78" i="18"/>
  <c r="M439" i="26"/>
  <c r="K95" i="18"/>
  <c r="F72" i="18"/>
  <c r="L47" i="18"/>
  <c r="M391" i="27"/>
  <c r="G97" i="18"/>
  <c r="H155" i="22"/>
  <c r="M420" i="21"/>
  <c r="F76" i="18"/>
  <c r="H155" i="3"/>
  <c r="C97" i="18"/>
  <c r="M441" i="3"/>
  <c r="J78" i="18"/>
  <c r="M422" i="25"/>
  <c r="K74" i="18"/>
  <c r="M418" i="26"/>
  <c r="H437" i="3"/>
  <c r="I437" i="3" s="1"/>
  <c r="C52" i="18"/>
  <c r="M396" i="3"/>
  <c r="C74" i="18"/>
  <c r="M418" i="3"/>
  <c r="L72" i="18"/>
  <c r="M416" i="27"/>
  <c r="M422" i="22"/>
  <c r="G78" i="18"/>
  <c r="N45" i="18"/>
  <c r="M389" i="29"/>
  <c r="M422" i="29"/>
  <c r="N78" i="18"/>
  <c r="K56" i="18"/>
  <c r="M420" i="3"/>
  <c r="C76" i="18"/>
  <c r="M427" i="3"/>
  <c r="M400" i="24"/>
  <c r="I56" i="18"/>
  <c r="N82" i="18"/>
  <c r="F47" i="18"/>
  <c r="M391" i="21"/>
  <c r="M391" i="26"/>
  <c r="K47" i="18"/>
  <c r="G72" i="18"/>
  <c r="M416" i="22"/>
  <c r="J45" i="18"/>
  <c r="M389" i="25"/>
  <c r="M424" i="25"/>
  <c r="J80" i="18"/>
  <c r="F74" i="18"/>
  <c r="M424" i="22"/>
  <c r="G80" i="18"/>
  <c r="H80" i="18"/>
  <c r="M424" i="23"/>
  <c r="N74" i="18"/>
  <c r="M418" i="29"/>
  <c r="M400" i="27"/>
  <c r="L56" i="18"/>
  <c r="C56" i="18"/>
  <c r="M400" i="3"/>
  <c r="E78" i="18"/>
  <c r="M420" i="19"/>
  <c r="D76" i="18"/>
  <c r="C95" i="18"/>
  <c r="M439" i="3"/>
  <c r="C80" i="18"/>
  <c r="M424" i="3"/>
  <c r="M416" i="24"/>
  <c r="I72" i="18"/>
  <c r="M97" i="18"/>
  <c r="M441" i="28"/>
  <c r="H155" i="28"/>
  <c r="H437" i="20"/>
  <c r="I437" i="20" s="1"/>
  <c r="E52" i="18"/>
  <c r="M389" i="28"/>
  <c r="M45" i="18"/>
  <c r="M426" i="23"/>
  <c r="H82" i="18"/>
  <c r="M400" i="21"/>
  <c r="F56" i="18"/>
  <c r="C78" i="18"/>
  <c r="M422" i="3"/>
  <c r="E97" i="18"/>
  <c r="H155" i="20"/>
  <c r="M441" i="20"/>
  <c r="H54" i="18"/>
  <c r="M427" i="25"/>
  <c r="J76" i="18"/>
  <c r="F52" i="18"/>
  <c r="M396" i="21"/>
  <c r="M82" i="18"/>
  <c r="N56" i="18"/>
  <c r="M426" i="3"/>
  <c r="C82" i="18"/>
  <c r="D52" i="18"/>
  <c r="D56" i="18"/>
  <c r="H95" i="18"/>
  <c r="M439" i="23"/>
  <c r="M424" i="24"/>
  <c r="I80" i="18"/>
  <c r="M439" i="22"/>
  <c r="G95" i="18"/>
  <c r="M418" i="25"/>
  <c r="J74" i="18"/>
  <c r="M418" i="28" l="1"/>
  <c r="DJ263" i="21"/>
  <c r="DJ263" i="25"/>
  <c r="DJ263" i="23"/>
  <c r="DJ263" i="22"/>
  <c r="DJ263" i="26"/>
  <c r="DJ263" i="29"/>
  <c r="DJ263" i="28"/>
  <c r="DJ263" i="20"/>
  <c r="DJ263" i="24"/>
  <c r="DJ263" i="27"/>
  <c r="M439" i="25"/>
  <c r="J95" i="18"/>
  <c r="O95" i="18" s="1"/>
  <c r="I374" i="21"/>
  <c r="F31" i="18" s="1"/>
  <c r="I374" i="29"/>
  <c r="N31" i="18" s="1"/>
  <c r="I374" i="27"/>
  <c r="L31" i="18" s="1"/>
  <c r="O34" i="18"/>
  <c r="I374" i="24"/>
  <c r="I31" i="18" s="1"/>
  <c r="I374" i="3"/>
  <c r="C31" i="18" s="1"/>
  <c r="I374" i="26"/>
  <c r="K31" i="18" s="1"/>
  <c r="I374" i="19"/>
  <c r="D31" i="18" s="1"/>
  <c r="I374" i="28"/>
  <c r="M31" i="18" s="1"/>
  <c r="I374" i="20"/>
  <c r="E31" i="18" s="1"/>
  <c r="I374" i="22"/>
  <c r="G31" i="18" s="1"/>
  <c r="M424" i="19"/>
  <c r="M439" i="28"/>
  <c r="F54" i="18"/>
  <c r="M398" i="21"/>
  <c r="I54" i="18"/>
  <c r="M441" i="27"/>
  <c r="H155" i="27"/>
  <c r="H155" i="24"/>
  <c r="M441" i="24"/>
  <c r="M389" i="24"/>
  <c r="K52" i="18"/>
  <c r="I45" i="18"/>
  <c r="H437" i="24"/>
  <c r="I437" i="24" s="1"/>
  <c r="M442" i="24" s="1"/>
  <c r="M414" i="29"/>
  <c r="M391" i="28"/>
  <c r="H392" i="28"/>
  <c r="I392" i="28" s="1"/>
  <c r="M49" i="18" s="1"/>
  <c r="N80" i="18"/>
  <c r="H392" i="29"/>
  <c r="I392" i="29" s="1"/>
  <c r="N49" i="18" s="1"/>
  <c r="M400" i="22"/>
  <c r="M414" i="28"/>
  <c r="M391" i="29"/>
  <c r="M398" i="19"/>
  <c r="D54" i="18"/>
  <c r="M396" i="23"/>
  <c r="M427" i="22"/>
  <c r="E45" i="18"/>
  <c r="M398" i="27"/>
  <c r="H437" i="23"/>
  <c r="I437" i="23" s="1"/>
  <c r="H94" i="18" s="1"/>
  <c r="M389" i="26"/>
  <c r="M396" i="24"/>
  <c r="H392" i="26"/>
  <c r="I392" i="26" s="1"/>
  <c r="K49" i="18" s="1"/>
  <c r="M422" i="19"/>
  <c r="M396" i="26"/>
  <c r="M424" i="29"/>
  <c r="M427" i="19"/>
  <c r="M422" i="26"/>
  <c r="M416" i="19"/>
  <c r="D78" i="18"/>
  <c r="O78" i="18" s="1"/>
  <c r="D97" i="18"/>
  <c r="M414" i="19"/>
  <c r="M441" i="19"/>
  <c r="M427" i="26"/>
  <c r="M414" i="26"/>
  <c r="H437" i="27"/>
  <c r="I437" i="27" s="1"/>
  <c r="L94" i="18" s="1"/>
  <c r="H437" i="22"/>
  <c r="I437" i="22" s="1"/>
  <c r="M442" i="22" s="1"/>
  <c r="G56" i="18"/>
  <c r="H392" i="20"/>
  <c r="I392" i="20" s="1"/>
  <c r="E49" i="18" s="1"/>
  <c r="M439" i="29"/>
  <c r="H392" i="25"/>
  <c r="I392" i="25" s="1"/>
  <c r="J49" i="18" s="1"/>
  <c r="J47" i="18"/>
  <c r="O47" i="18" s="1"/>
  <c r="M418" i="20"/>
  <c r="L82" i="18"/>
  <c r="M426" i="27"/>
  <c r="M439" i="20"/>
  <c r="I82" i="18"/>
  <c r="M426" i="24"/>
  <c r="M414" i="24"/>
  <c r="M396" i="27"/>
  <c r="M414" i="21"/>
  <c r="M427" i="21"/>
  <c r="M414" i="27"/>
  <c r="J54" i="18"/>
  <c r="L52" i="18"/>
  <c r="M420" i="22"/>
  <c r="H392" i="19"/>
  <c r="I392" i="19" s="1"/>
  <c r="D49" i="18" s="1"/>
  <c r="M414" i="22"/>
  <c r="M416" i="28"/>
  <c r="M416" i="20"/>
  <c r="F80" i="18"/>
  <c r="M414" i="20"/>
  <c r="H437" i="25"/>
  <c r="I437" i="25" s="1"/>
  <c r="M436" i="25" s="1"/>
  <c r="M391" i="20"/>
  <c r="M416" i="23"/>
  <c r="M427" i="23"/>
  <c r="H56" i="18"/>
  <c r="M414" i="23"/>
  <c r="M414" i="25"/>
  <c r="M418" i="27"/>
  <c r="M416" i="25"/>
  <c r="M422" i="23"/>
  <c r="M391" i="19"/>
  <c r="M400" i="23"/>
  <c r="G45" i="18"/>
  <c r="N97" i="18"/>
  <c r="M389" i="22"/>
  <c r="M441" i="29"/>
  <c r="I392" i="21"/>
  <c r="F49" i="18" s="1"/>
  <c r="I392" i="27"/>
  <c r="L49" i="18" s="1"/>
  <c r="I392" i="23"/>
  <c r="H49" i="18" s="1"/>
  <c r="I392" i="22"/>
  <c r="G49" i="18" s="1"/>
  <c r="I392" i="24"/>
  <c r="I49" i="18" s="1"/>
  <c r="I392" i="3"/>
  <c r="C49" i="18" s="1"/>
  <c r="B7" i="9"/>
  <c r="F12" i="9" s="1"/>
  <c r="O64" i="4" s="1"/>
  <c r="S227" i="23"/>
  <c r="P178" i="23" s="1"/>
  <c r="S227" i="20"/>
  <c r="P178" i="20" s="1"/>
  <c r="S227" i="27"/>
  <c r="P178" i="27" s="1"/>
  <c r="S227" i="3"/>
  <c r="P178" i="3" s="1"/>
  <c r="S227" i="28"/>
  <c r="P178" i="28" s="1"/>
  <c r="S227" i="25"/>
  <c r="P178" i="25" s="1"/>
  <c r="S227" i="26"/>
  <c r="P178" i="26" s="1"/>
  <c r="S227" i="19"/>
  <c r="P178" i="19" s="1"/>
  <c r="S227" i="21"/>
  <c r="P178" i="21" s="1"/>
  <c r="S227" i="24"/>
  <c r="P178" i="24" s="1"/>
  <c r="S237" i="20"/>
  <c r="P189" i="20" s="1"/>
  <c r="S227" i="22"/>
  <c r="P178" i="22" s="1"/>
  <c r="D46" i="31"/>
  <c r="S227" i="29"/>
  <c r="P178" i="29" s="1"/>
  <c r="Q59" i="4"/>
  <c r="S217" i="22"/>
  <c r="S237" i="26"/>
  <c r="P189" i="26" s="1"/>
  <c r="M59" i="4"/>
  <c r="I59" i="4"/>
  <c r="C87" i="4" s="1"/>
  <c r="D77" i="31" s="1"/>
  <c r="S217" i="27"/>
  <c r="S217" i="21"/>
  <c r="S217" i="28"/>
  <c r="S237" i="19"/>
  <c r="P189" i="19" s="1"/>
  <c r="S217" i="24"/>
  <c r="S217" i="19"/>
  <c r="S237" i="29"/>
  <c r="P189" i="29" s="1"/>
  <c r="S237" i="21"/>
  <c r="P189" i="21" s="1"/>
  <c r="S237" i="23"/>
  <c r="P189" i="23" s="1"/>
  <c r="S237" i="25"/>
  <c r="P189" i="25" s="1"/>
  <c r="S237" i="22"/>
  <c r="P189" i="22" s="1"/>
  <c r="S217" i="23"/>
  <c r="S237" i="27"/>
  <c r="P189" i="27" s="1"/>
  <c r="S217" i="20"/>
  <c r="S217" i="25"/>
  <c r="S217" i="29"/>
  <c r="S237" i="28"/>
  <c r="P189" i="28" s="1"/>
  <c r="S237" i="3"/>
  <c r="P189" i="3" s="1"/>
  <c r="S237" i="24"/>
  <c r="P189" i="24" s="1"/>
  <c r="S217" i="26"/>
  <c r="S217" i="3"/>
  <c r="J369" i="29"/>
  <c r="P59" i="29"/>
  <c r="G59" i="29"/>
  <c r="AH270" i="27"/>
  <c r="AJ270" i="27" s="1"/>
  <c r="A271" i="27"/>
  <c r="R270" i="27"/>
  <c r="P270" i="27"/>
  <c r="BC270" i="27" s="1"/>
  <c r="AW270" i="27"/>
  <c r="A271" i="29"/>
  <c r="R270" i="29"/>
  <c r="AH270" i="29"/>
  <c r="AJ270" i="29" s="1"/>
  <c r="P270" i="29"/>
  <c r="BC270" i="29" s="1"/>
  <c r="AW270" i="29"/>
  <c r="AM269" i="25"/>
  <c r="DL269" i="25" s="1"/>
  <c r="W269" i="25"/>
  <c r="U269" i="25"/>
  <c r="S269" i="25"/>
  <c r="X269" i="25"/>
  <c r="AQ269" i="25"/>
  <c r="AA269" i="25"/>
  <c r="AB269" i="25"/>
  <c r="AC269" i="25"/>
  <c r="Y269" i="25"/>
  <c r="A271" i="22"/>
  <c r="R270" i="22"/>
  <c r="AH270" i="22"/>
  <c r="AJ270" i="22" s="1"/>
  <c r="AW270" i="22"/>
  <c r="P270" i="22"/>
  <c r="BC270" i="22" s="1"/>
  <c r="R270" i="25"/>
  <c r="AH270" i="25"/>
  <c r="AJ270" i="25" s="1"/>
  <c r="A271" i="25"/>
  <c r="P270" i="25"/>
  <c r="BC270" i="25" s="1"/>
  <c r="AW270" i="25"/>
  <c r="AH270" i="20"/>
  <c r="AJ270" i="20" s="1"/>
  <c r="A271" i="20"/>
  <c r="R270" i="20"/>
  <c r="P270" i="20"/>
  <c r="BC270" i="20" s="1"/>
  <c r="AW270" i="20"/>
  <c r="A271" i="24"/>
  <c r="R270" i="24"/>
  <c r="AH270" i="24"/>
  <c r="AJ270" i="24" s="1"/>
  <c r="P270" i="24"/>
  <c r="BC270" i="24" s="1"/>
  <c r="AW270" i="24"/>
  <c r="AM269" i="27"/>
  <c r="DL269" i="27" s="1"/>
  <c r="W269" i="27"/>
  <c r="U269" i="27"/>
  <c r="AQ269" i="27"/>
  <c r="S269" i="27"/>
  <c r="X269" i="27"/>
  <c r="AC269" i="27"/>
  <c r="AB269" i="27"/>
  <c r="AA269" i="27"/>
  <c r="Y269" i="27"/>
  <c r="A271" i="26"/>
  <c r="R270" i="26"/>
  <c r="AH270" i="26"/>
  <c r="AJ270" i="26" s="1"/>
  <c r="P270" i="26"/>
  <c r="BC270" i="26" s="1"/>
  <c r="AW270" i="26"/>
  <c r="AM269" i="29"/>
  <c r="DL269" i="29" s="1"/>
  <c r="W269" i="29"/>
  <c r="U269" i="29"/>
  <c r="S269" i="29"/>
  <c r="X269" i="29"/>
  <c r="AQ269" i="29"/>
  <c r="Y269" i="29"/>
  <c r="AA269" i="29"/>
  <c r="AC269" i="29"/>
  <c r="AB269" i="29"/>
  <c r="AM269" i="23"/>
  <c r="DL269" i="23" s="1"/>
  <c r="W269" i="23"/>
  <c r="AQ269" i="23"/>
  <c r="S269" i="23"/>
  <c r="U269" i="23"/>
  <c r="X269" i="23"/>
  <c r="AC269" i="23"/>
  <c r="Y269" i="23"/>
  <c r="AB269" i="23"/>
  <c r="AA269" i="23"/>
  <c r="AM268" i="19"/>
  <c r="DL268" i="19" s="1"/>
  <c r="W268" i="19"/>
  <c r="S268" i="19"/>
  <c r="AQ268" i="19"/>
  <c r="U268" i="19"/>
  <c r="X268" i="19"/>
  <c r="AA268" i="19"/>
  <c r="Y268" i="19"/>
  <c r="AB268" i="19"/>
  <c r="AC268" i="19"/>
  <c r="AM269" i="22"/>
  <c r="DL269" i="22" s="1"/>
  <c r="U269" i="22"/>
  <c r="W269" i="22"/>
  <c r="S269" i="22"/>
  <c r="X269" i="22"/>
  <c r="AQ269" i="22"/>
  <c r="AA269" i="22"/>
  <c r="AB269" i="22"/>
  <c r="AC269" i="22"/>
  <c r="Y269" i="22"/>
  <c r="R270" i="23"/>
  <c r="AH270" i="23"/>
  <c r="AJ270" i="23" s="1"/>
  <c r="A271" i="23"/>
  <c r="AW270" i="23"/>
  <c r="P270" i="23"/>
  <c r="BC270" i="23" s="1"/>
  <c r="AM269" i="20"/>
  <c r="DL269" i="20" s="1"/>
  <c r="X269" i="20"/>
  <c r="AQ269" i="20"/>
  <c r="W269" i="20"/>
  <c r="U269" i="20"/>
  <c r="S269" i="20"/>
  <c r="AB269" i="20"/>
  <c r="AA269" i="20"/>
  <c r="Y269" i="20"/>
  <c r="AC269" i="20"/>
  <c r="AM269" i="24"/>
  <c r="DL269" i="24" s="1"/>
  <c r="S269" i="24"/>
  <c r="W269" i="24"/>
  <c r="AQ269" i="24"/>
  <c r="U269" i="24"/>
  <c r="X269" i="24"/>
  <c r="AA269" i="24"/>
  <c r="AB269" i="24"/>
  <c r="Y269" i="24"/>
  <c r="AC269" i="24"/>
  <c r="AM269" i="21"/>
  <c r="DL269" i="21" s="1"/>
  <c r="X269" i="21"/>
  <c r="S269" i="21"/>
  <c r="AQ269" i="21"/>
  <c r="W269" i="21"/>
  <c r="U269" i="21"/>
  <c r="AA269" i="21"/>
  <c r="Y269" i="21"/>
  <c r="AC269" i="21"/>
  <c r="AB269" i="21"/>
  <c r="AM269" i="26"/>
  <c r="DL269" i="26" s="1"/>
  <c r="W269" i="26"/>
  <c r="S269" i="26"/>
  <c r="AQ269" i="26"/>
  <c r="U269" i="26"/>
  <c r="X269" i="26"/>
  <c r="AA269" i="26"/>
  <c r="Y269" i="26"/>
  <c r="AC269" i="26"/>
  <c r="AB269" i="26"/>
  <c r="R269" i="19"/>
  <c r="AH269" i="19"/>
  <c r="AJ269" i="19" s="1"/>
  <c r="A270" i="19"/>
  <c r="AW269" i="19"/>
  <c r="P269" i="19"/>
  <c r="BC269" i="19" s="1"/>
  <c r="A271" i="21"/>
  <c r="R270" i="21"/>
  <c r="AH270" i="21"/>
  <c r="AJ270" i="21" s="1"/>
  <c r="P270" i="21"/>
  <c r="BC270" i="21" s="1"/>
  <c r="AW270" i="21"/>
  <c r="AM269" i="3"/>
  <c r="DL269" i="3" s="1"/>
  <c r="X269" i="3"/>
  <c r="U269" i="3"/>
  <c r="AQ269" i="3"/>
  <c r="W269" i="3"/>
  <c r="S269" i="3"/>
  <c r="AB269" i="3"/>
  <c r="AA269" i="3"/>
  <c r="Y269" i="3"/>
  <c r="AC269" i="3"/>
  <c r="R270" i="3"/>
  <c r="AH270" i="3"/>
  <c r="AJ270" i="3" s="1"/>
  <c r="A271" i="3"/>
  <c r="P270" i="3"/>
  <c r="BC270" i="3" s="1"/>
  <c r="AW270" i="3"/>
  <c r="AM269" i="28"/>
  <c r="DL269" i="28" s="1"/>
  <c r="X269" i="28"/>
  <c r="W269" i="28"/>
  <c r="S269" i="28"/>
  <c r="U269" i="28"/>
  <c r="AQ269" i="28"/>
  <c r="Y269" i="28"/>
  <c r="AC269" i="28"/>
  <c r="AB269" i="28"/>
  <c r="AA269" i="28"/>
  <c r="A271" i="28"/>
  <c r="R270" i="28"/>
  <c r="AH270" i="28"/>
  <c r="AJ270" i="28" s="1"/>
  <c r="P270" i="28"/>
  <c r="BC270" i="28" s="1"/>
  <c r="AW270" i="28"/>
  <c r="F94" i="18"/>
  <c r="M442" i="21"/>
  <c r="M436" i="21"/>
  <c r="M442" i="26"/>
  <c r="K94" i="18"/>
  <c r="M436" i="26"/>
  <c r="M436" i="20"/>
  <c r="M442" i="20"/>
  <c r="E94" i="18"/>
  <c r="R95" i="18"/>
  <c r="M436" i="28"/>
  <c r="M442" i="28"/>
  <c r="M94" i="18"/>
  <c r="O76" i="18"/>
  <c r="O74" i="18"/>
  <c r="M442" i="3"/>
  <c r="M436" i="3"/>
  <c r="C94" i="18"/>
  <c r="M436" i="29"/>
  <c r="M442" i="29"/>
  <c r="N94" i="18"/>
  <c r="O72" i="18"/>
  <c r="M442" i="19"/>
  <c r="M436" i="19"/>
  <c r="D94" i="18"/>
  <c r="U95" i="18"/>
  <c r="S95" i="18"/>
  <c r="T95" i="18" l="1"/>
  <c r="O31" i="18"/>
  <c r="M436" i="24"/>
  <c r="O52" i="18"/>
  <c r="O80" i="18"/>
  <c r="I94" i="18"/>
  <c r="M436" i="23"/>
  <c r="M442" i="23"/>
  <c r="O54" i="18"/>
  <c r="O45" i="18"/>
  <c r="G94" i="18"/>
  <c r="M436" i="22"/>
  <c r="O56" i="18"/>
  <c r="O97" i="18"/>
  <c r="O82" i="18"/>
  <c r="M436" i="27"/>
  <c r="M442" i="27"/>
  <c r="J94" i="18"/>
  <c r="M442" i="25"/>
  <c r="Z269" i="22"/>
  <c r="AI269" i="22" s="1"/>
  <c r="Z269" i="23"/>
  <c r="AI269" i="23" s="1"/>
  <c r="Z269" i="29"/>
  <c r="AI269" i="29" s="1"/>
  <c r="B12" i="9"/>
  <c r="H393" i="29" s="1"/>
  <c r="I393" i="29" s="1"/>
  <c r="D12" i="9"/>
  <c r="K64" i="4" s="1"/>
  <c r="AD268" i="19"/>
  <c r="Z269" i="26"/>
  <c r="AI269" i="26" s="1"/>
  <c r="AD269" i="26"/>
  <c r="AD269" i="20"/>
  <c r="Z269" i="3"/>
  <c r="AI269" i="3" s="1"/>
  <c r="Z269" i="20"/>
  <c r="AI269" i="20" s="1"/>
  <c r="AD269" i="3"/>
  <c r="AD269" i="22"/>
  <c r="AD269" i="24"/>
  <c r="Z269" i="24"/>
  <c r="AI269" i="24" s="1"/>
  <c r="Z268" i="19"/>
  <c r="AI268" i="19" s="1"/>
  <c r="Z269" i="21"/>
  <c r="AI269" i="21" s="1"/>
  <c r="AD269" i="21"/>
  <c r="AD269" i="25"/>
  <c r="Z269" i="25"/>
  <c r="AI269" i="25" s="1"/>
  <c r="Z269" i="27"/>
  <c r="AI269" i="27" s="1"/>
  <c r="AD269" i="23"/>
  <c r="AD269" i="27"/>
  <c r="Z269" i="28"/>
  <c r="AI269" i="28" s="1"/>
  <c r="AD269" i="28"/>
  <c r="AD269" i="29"/>
  <c r="Z266" i="20"/>
  <c r="AI266" i="20" s="1"/>
  <c r="Z265" i="20"/>
  <c r="AI265" i="20" s="1"/>
  <c r="AD266" i="20"/>
  <c r="AD267" i="20"/>
  <c r="AD265" i="20"/>
  <c r="AD264" i="20"/>
  <c r="S220" i="20"/>
  <c r="Z264" i="20"/>
  <c r="AI264" i="20" s="1"/>
  <c r="P167" i="20"/>
  <c r="Z267" i="20"/>
  <c r="AI267" i="20" s="1"/>
  <c r="AD268" i="20"/>
  <c r="Z268" i="20"/>
  <c r="AI268" i="20" s="1"/>
  <c r="AD265" i="19"/>
  <c r="S220" i="19"/>
  <c r="AD264" i="19"/>
  <c r="P167" i="19"/>
  <c r="AD266" i="19"/>
  <c r="Z265" i="19"/>
  <c r="AI265" i="19" s="1"/>
  <c r="Z264" i="19"/>
  <c r="AI264" i="19" s="1"/>
  <c r="Z266" i="19"/>
  <c r="AI266" i="19" s="1"/>
  <c r="Z267" i="19"/>
  <c r="AI267" i="19" s="1"/>
  <c r="AD267" i="19"/>
  <c r="S220" i="24"/>
  <c r="AD264" i="24"/>
  <c r="Z264" i="24"/>
  <c r="AI264" i="24" s="1"/>
  <c r="Z265" i="24"/>
  <c r="AI265" i="24" s="1"/>
  <c r="Z266" i="24"/>
  <c r="AI266" i="24" s="1"/>
  <c r="AD265" i="24"/>
  <c r="P167" i="24"/>
  <c r="AD266" i="24"/>
  <c r="Z267" i="24"/>
  <c r="AI267" i="24" s="1"/>
  <c r="AD267" i="24"/>
  <c r="Z268" i="24"/>
  <c r="AI268" i="24" s="1"/>
  <c r="AD268" i="24"/>
  <c r="S220" i="26"/>
  <c r="AD266" i="26"/>
  <c r="Z264" i="26"/>
  <c r="AI264" i="26" s="1"/>
  <c r="Z265" i="26"/>
  <c r="AI265" i="26" s="1"/>
  <c r="P167" i="26"/>
  <c r="Z266" i="26"/>
  <c r="AI266" i="26" s="1"/>
  <c r="AD265" i="26"/>
  <c r="AD264" i="26"/>
  <c r="AD267" i="26"/>
  <c r="Z267" i="26"/>
  <c r="AI267" i="26" s="1"/>
  <c r="AD268" i="26"/>
  <c r="Z268" i="26"/>
  <c r="AI268" i="26" s="1"/>
  <c r="AD266" i="23"/>
  <c r="S220" i="23"/>
  <c r="AD264" i="23"/>
  <c r="P167" i="23"/>
  <c r="AD265" i="23"/>
  <c r="Z266" i="23"/>
  <c r="AI266" i="23" s="1"/>
  <c r="Z265" i="23"/>
  <c r="AI265" i="23" s="1"/>
  <c r="Z264" i="23"/>
  <c r="AI264" i="23" s="1"/>
  <c r="Z267" i="23"/>
  <c r="AI267" i="23" s="1"/>
  <c r="AD267" i="23"/>
  <c r="AD268" i="23"/>
  <c r="Z268" i="23"/>
  <c r="AI268" i="23" s="1"/>
  <c r="P167" i="22"/>
  <c r="S220" i="22"/>
  <c r="AD264" i="22"/>
  <c r="Z265" i="22"/>
  <c r="AI265" i="22" s="1"/>
  <c r="AD265" i="22"/>
  <c r="Z266" i="22"/>
  <c r="AI266" i="22" s="1"/>
  <c r="Z264" i="22"/>
  <c r="AI264" i="22" s="1"/>
  <c r="AD266" i="22"/>
  <c r="AD267" i="22"/>
  <c r="Z267" i="22"/>
  <c r="AI267" i="22" s="1"/>
  <c r="AD268" i="22"/>
  <c r="Z268" i="22"/>
  <c r="AI268" i="22" s="1"/>
  <c r="Z266" i="28"/>
  <c r="AI266" i="28" s="1"/>
  <c r="Z264" i="28"/>
  <c r="AI264" i="28" s="1"/>
  <c r="S220" i="28"/>
  <c r="P167" i="28"/>
  <c r="AD266" i="28"/>
  <c r="AD264" i="28"/>
  <c r="Z267" i="28"/>
  <c r="AI267" i="28" s="1"/>
  <c r="AD265" i="28"/>
  <c r="Z265" i="28"/>
  <c r="AI265" i="28" s="1"/>
  <c r="AD267" i="28"/>
  <c r="Z268" i="28"/>
  <c r="AI268" i="28" s="1"/>
  <c r="AD268" i="28"/>
  <c r="Z266" i="21"/>
  <c r="AI266" i="21" s="1"/>
  <c r="P167" i="21"/>
  <c r="AD266" i="21"/>
  <c r="AD264" i="21"/>
  <c r="AD265" i="21"/>
  <c r="S220" i="21"/>
  <c r="Z264" i="21"/>
  <c r="AI264" i="21" s="1"/>
  <c r="Z265" i="21"/>
  <c r="AI265" i="21" s="1"/>
  <c r="AD267" i="21"/>
  <c r="Z267" i="21"/>
  <c r="AI267" i="21" s="1"/>
  <c r="Z268" i="21"/>
  <c r="AI268" i="21" s="1"/>
  <c r="AD268" i="21"/>
  <c r="H7" i="9"/>
  <c r="O71" i="4"/>
  <c r="G71" i="4"/>
  <c r="K71" i="4"/>
  <c r="M9" i="9"/>
  <c r="M12" i="9" s="1"/>
  <c r="L9" i="9"/>
  <c r="L12" i="9" s="1"/>
  <c r="N9" i="9"/>
  <c r="N12" i="9" s="1"/>
  <c r="P167" i="27"/>
  <c r="Z264" i="27"/>
  <c r="AI264" i="27" s="1"/>
  <c r="AD266" i="27"/>
  <c r="Z266" i="27"/>
  <c r="AI266" i="27" s="1"/>
  <c r="AD264" i="27"/>
  <c r="S220" i="27"/>
  <c r="Z267" i="27"/>
  <c r="AI267" i="27" s="1"/>
  <c r="Z265" i="27"/>
  <c r="AI265" i="27" s="1"/>
  <c r="AD265" i="27"/>
  <c r="AD267" i="27"/>
  <c r="Z268" i="27"/>
  <c r="AI268" i="27" s="1"/>
  <c r="AD268" i="27"/>
  <c r="Z266" i="3"/>
  <c r="AI266" i="3" s="1"/>
  <c r="Z267" i="3"/>
  <c r="AI267" i="3" s="1"/>
  <c r="S220" i="3"/>
  <c r="AD264" i="3"/>
  <c r="Z264" i="3"/>
  <c r="AI264" i="3" s="1"/>
  <c r="AK264" i="3" s="1"/>
  <c r="AD266" i="3"/>
  <c r="AD265" i="3"/>
  <c r="Z268" i="3"/>
  <c r="AI268" i="3" s="1"/>
  <c r="Z265" i="3"/>
  <c r="AI265" i="3" s="1"/>
  <c r="AD268" i="3"/>
  <c r="P167" i="3"/>
  <c r="AD267" i="3"/>
  <c r="AD266" i="29"/>
  <c r="AD267" i="29"/>
  <c r="P167" i="29"/>
  <c r="Z265" i="29"/>
  <c r="AI265" i="29" s="1"/>
  <c r="AD264" i="29"/>
  <c r="Z266" i="29"/>
  <c r="AI266" i="29" s="1"/>
  <c r="S220" i="29"/>
  <c r="Z267" i="29"/>
  <c r="AI267" i="29" s="1"/>
  <c r="AD265" i="29"/>
  <c r="Z264" i="29"/>
  <c r="AI264" i="29" s="1"/>
  <c r="AD268" i="29"/>
  <c r="Z268" i="29"/>
  <c r="AI268" i="29" s="1"/>
  <c r="Z264" i="25"/>
  <c r="AI264" i="25" s="1"/>
  <c r="P167" i="25"/>
  <c r="Z265" i="25"/>
  <c r="AI265" i="25" s="1"/>
  <c r="S220" i="25"/>
  <c r="Z266" i="25"/>
  <c r="AI266" i="25" s="1"/>
  <c r="Z267" i="25"/>
  <c r="AI267" i="25" s="1"/>
  <c r="AD264" i="25"/>
  <c r="AD266" i="25"/>
  <c r="AD267" i="25"/>
  <c r="AD265" i="25"/>
  <c r="Z268" i="25"/>
  <c r="AI268" i="25" s="1"/>
  <c r="AD268" i="25"/>
  <c r="J370" i="29"/>
  <c r="P61" i="29" s="1"/>
  <c r="P60" i="29"/>
  <c r="R271" i="28"/>
  <c r="AH271" i="28"/>
  <c r="AJ271" i="28" s="1"/>
  <c r="A272" i="28"/>
  <c r="AW271" i="28"/>
  <c r="P271" i="28"/>
  <c r="BC271" i="28" s="1"/>
  <c r="R271" i="3"/>
  <c r="AH271" i="3"/>
  <c r="AJ271" i="3" s="1"/>
  <c r="A272" i="3"/>
  <c r="P271" i="3"/>
  <c r="BC271" i="3" s="1"/>
  <c r="AW271" i="3"/>
  <c r="R270" i="19"/>
  <c r="AH270" i="19"/>
  <c r="AJ270" i="19" s="1"/>
  <c r="A271" i="19"/>
  <c r="P270" i="19"/>
  <c r="BC270" i="19" s="1"/>
  <c r="AW270" i="19"/>
  <c r="AM270" i="23"/>
  <c r="DL270" i="23" s="1"/>
  <c r="W270" i="23"/>
  <c r="U270" i="23"/>
  <c r="S270" i="23"/>
  <c r="AQ270" i="23"/>
  <c r="X270" i="23"/>
  <c r="AC270" i="23"/>
  <c r="AA270" i="23"/>
  <c r="Y270" i="23"/>
  <c r="AB270" i="23"/>
  <c r="AD270" i="23"/>
  <c r="Z270" i="23"/>
  <c r="AM270" i="26"/>
  <c r="DL270" i="26" s="1"/>
  <c r="W270" i="26"/>
  <c r="U270" i="26"/>
  <c r="AQ270" i="26"/>
  <c r="X270" i="26"/>
  <c r="S270" i="26"/>
  <c r="Y270" i="26"/>
  <c r="AA270" i="26"/>
  <c r="AC270" i="26"/>
  <c r="AB270" i="26"/>
  <c r="Z270" i="26"/>
  <c r="AD270" i="26"/>
  <c r="A272" i="20"/>
  <c r="R271" i="20"/>
  <c r="AH271" i="20"/>
  <c r="AJ271" i="20" s="1"/>
  <c r="P271" i="20"/>
  <c r="BC271" i="20" s="1"/>
  <c r="AW271" i="20"/>
  <c r="R271" i="29"/>
  <c r="AH271" i="29"/>
  <c r="AJ271" i="29" s="1"/>
  <c r="P271" i="29"/>
  <c r="BC271" i="29" s="1"/>
  <c r="AW271" i="29"/>
  <c r="A272" i="29"/>
  <c r="R271" i="26"/>
  <c r="AH271" i="26"/>
  <c r="AJ271" i="26" s="1"/>
  <c r="A272" i="26"/>
  <c r="AW271" i="26"/>
  <c r="P271" i="26"/>
  <c r="BC271" i="26" s="1"/>
  <c r="AM270" i="3"/>
  <c r="DL270" i="3" s="1"/>
  <c r="U270" i="3"/>
  <c r="W270" i="3"/>
  <c r="X270" i="3"/>
  <c r="AQ270" i="3"/>
  <c r="S270" i="3"/>
  <c r="AA270" i="3"/>
  <c r="AB270" i="3"/>
  <c r="Y270" i="3"/>
  <c r="AC270" i="3"/>
  <c r="AD270" i="3"/>
  <c r="Z270" i="3"/>
  <c r="AM269" i="19"/>
  <c r="DL269" i="19" s="1"/>
  <c r="X269" i="19"/>
  <c r="AQ269" i="19"/>
  <c r="S269" i="19"/>
  <c r="W269" i="19"/>
  <c r="U269" i="19"/>
  <c r="AC269" i="19"/>
  <c r="AA269" i="19"/>
  <c r="Y269" i="19"/>
  <c r="AB269" i="19"/>
  <c r="Z269" i="19"/>
  <c r="AD269" i="19"/>
  <c r="AM270" i="24"/>
  <c r="DL270" i="24" s="1"/>
  <c r="U270" i="24"/>
  <c r="S270" i="24"/>
  <c r="AQ270" i="24"/>
  <c r="W270" i="24"/>
  <c r="X270" i="24"/>
  <c r="AA270" i="24"/>
  <c r="AB270" i="24"/>
  <c r="AC270" i="24"/>
  <c r="Y270" i="24"/>
  <c r="Z270" i="24"/>
  <c r="AD270" i="24"/>
  <c r="AM270" i="21"/>
  <c r="DL270" i="21" s="1"/>
  <c r="U270" i="21"/>
  <c r="X270" i="21"/>
  <c r="AQ270" i="21"/>
  <c r="S270" i="21"/>
  <c r="W270" i="21"/>
  <c r="AC270" i="21"/>
  <c r="AB270" i="21"/>
  <c r="AA270" i="21"/>
  <c r="Y270" i="21"/>
  <c r="AD270" i="21"/>
  <c r="Z270" i="21"/>
  <c r="R271" i="24"/>
  <c r="AH271" i="24"/>
  <c r="AJ271" i="24" s="1"/>
  <c r="A272" i="24"/>
  <c r="P271" i="24"/>
  <c r="BC271" i="24" s="1"/>
  <c r="AW271" i="24"/>
  <c r="R271" i="21"/>
  <c r="AH271" i="21"/>
  <c r="AJ271" i="21" s="1"/>
  <c r="A272" i="21"/>
  <c r="P271" i="21"/>
  <c r="BC271" i="21" s="1"/>
  <c r="AW271" i="21"/>
  <c r="AM270" i="22"/>
  <c r="DL270" i="22" s="1"/>
  <c r="W270" i="22"/>
  <c r="X270" i="22"/>
  <c r="U270" i="22"/>
  <c r="S270" i="22"/>
  <c r="AQ270" i="22"/>
  <c r="AB270" i="22"/>
  <c r="AA270" i="22"/>
  <c r="Y270" i="22"/>
  <c r="AC270" i="22"/>
  <c r="AD270" i="22"/>
  <c r="Z270" i="22"/>
  <c r="AH271" i="25"/>
  <c r="AJ271" i="25" s="1"/>
  <c r="A272" i="25"/>
  <c r="R271" i="25"/>
  <c r="P271" i="25"/>
  <c r="BC271" i="25" s="1"/>
  <c r="AW271" i="25"/>
  <c r="R271" i="22"/>
  <c r="AH271" i="22"/>
  <c r="AJ271" i="22" s="1"/>
  <c r="A272" i="22"/>
  <c r="AW271" i="22"/>
  <c r="P271" i="22"/>
  <c r="BC271" i="22" s="1"/>
  <c r="AM270" i="27"/>
  <c r="DL270" i="27" s="1"/>
  <c r="U270" i="27"/>
  <c r="X270" i="27"/>
  <c r="AQ270" i="27"/>
  <c r="S270" i="27"/>
  <c r="W270" i="27"/>
  <c r="Y270" i="27"/>
  <c r="AA270" i="27"/>
  <c r="AC270" i="27"/>
  <c r="AB270" i="27"/>
  <c r="Z270" i="27"/>
  <c r="AD270" i="27"/>
  <c r="R271" i="23"/>
  <c r="AH271" i="23"/>
  <c r="AJ271" i="23" s="1"/>
  <c r="A272" i="23"/>
  <c r="P271" i="23"/>
  <c r="BC271" i="23" s="1"/>
  <c r="AW271" i="23"/>
  <c r="A272" i="27"/>
  <c r="R271" i="27"/>
  <c r="AH271" i="27"/>
  <c r="AJ271" i="27" s="1"/>
  <c r="AW271" i="27"/>
  <c r="P271" i="27"/>
  <c r="BC271" i="27" s="1"/>
  <c r="AM270" i="28"/>
  <c r="DL270" i="28" s="1"/>
  <c r="U270" i="28"/>
  <c r="S270" i="28"/>
  <c r="W270" i="28"/>
  <c r="X270" i="28"/>
  <c r="AQ270" i="28"/>
  <c r="Y270" i="28"/>
  <c r="AA270" i="28"/>
  <c r="AB270" i="28"/>
  <c r="AC270" i="28"/>
  <c r="AD270" i="28"/>
  <c r="Z270" i="28"/>
  <c r="AM270" i="20"/>
  <c r="DL270" i="20" s="1"/>
  <c r="X270" i="20"/>
  <c r="AQ270" i="20"/>
  <c r="U270" i="20"/>
  <c r="W270" i="20"/>
  <c r="S270" i="20"/>
  <c r="AB270" i="20"/>
  <c r="Y270" i="20"/>
  <c r="AA270" i="20"/>
  <c r="AC270" i="20"/>
  <c r="AD270" i="20"/>
  <c r="Z270" i="20"/>
  <c r="AM270" i="25"/>
  <c r="DL270" i="25" s="1"/>
  <c r="U270" i="25"/>
  <c r="X270" i="25"/>
  <c r="AQ270" i="25"/>
  <c r="W270" i="25"/>
  <c r="S270" i="25"/>
  <c r="AC270" i="25"/>
  <c r="AA270" i="25"/>
  <c r="Y270" i="25"/>
  <c r="AB270" i="25"/>
  <c r="Z270" i="25"/>
  <c r="AD270" i="25"/>
  <c r="AM270" i="29"/>
  <c r="DL270" i="29" s="1"/>
  <c r="U270" i="29"/>
  <c r="X270" i="29"/>
  <c r="S270" i="29"/>
  <c r="W270" i="29"/>
  <c r="AQ270" i="29"/>
  <c r="AA270" i="29"/>
  <c r="AC270" i="29"/>
  <c r="Y270" i="29"/>
  <c r="AB270" i="29"/>
  <c r="AD270" i="29"/>
  <c r="Z270" i="29"/>
  <c r="O49" i="18"/>
  <c r="U94" i="18"/>
  <c r="S94" i="18"/>
  <c r="R94" i="18"/>
  <c r="O94" i="18" l="1"/>
  <c r="T94" i="18"/>
  <c r="H393" i="19"/>
  <c r="I393" i="19" s="1"/>
  <c r="M394" i="19" s="1"/>
  <c r="H393" i="27"/>
  <c r="I393" i="27" s="1"/>
  <c r="M401" i="27" s="1"/>
  <c r="H393" i="25"/>
  <c r="I393" i="25" s="1"/>
  <c r="J50" i="18" s="1"/>
  <c r="H393" i="3"/>
  <c r="I393" i="3" s="1"/>
  <c r="C50" i="18" s="1"/>
  <c r="H393" i="23"/>
  <c r="I393" i="23" s="1"/>
  <c r="H50" i="18" s="1"/>
  <c r="G64" i="4"/>
  <c r="H376" i="3" s="1"/>
  <c r="I376" i="3" s="1"/>
  <c r="C33" i="18" s="1"/>
  <c r="H393" i="20"/>
  <c r="I393" i="20" s="1"/>
  <c r="M394" i="20" s="1"/>
  <c r="H393" i="22"/>
  <c r="I393" i="22" s="1"/>
  <c r="G50" i="18" s="1"/>
  <c r="H393" i="24"/>
  <c r="I393" i="24" s="1"/>
  <c r="I50" i="18" s="1"/>
  <c r="H393" i="21"/>
  <c r="I393" i="21" s="1"/>
  <c r="M386" i="21" s="1"/>
  <c r="H393" i="28"/>
  <c r="I393" i="28" s="1"/>
  <c r="M394" i="28" s="1"/>
  <c r="H393" i="26"/>
  <c r="I393" i="26" s="1"/>
  <c r="K50" i="18" s="1"/>
  <c r="AK265" i="3"/>
  <c r="AL264" i="3"/>
  <c r="AN264" i="3" s="1"/>
  <c r="M394" i="29"/>
  <c r="N50" i="18"/>
  <c r="M387" i="29"/>
  <c r="M401" i="29"/>
  <c r="M386" i="29"/>
  <c r="O5" i="9"/>
  <c r="O4" i="9"/>
  <c r="O6" i="9"/>
  <c r="J371" i="29"/>
  <c r="E62" i="29" s="1"/>
  <c r="AI270" i="20"/>
  <c r="AI270" i="22"/>
  <c r="AI270" i="21"/>
  <c r="AI270" i="23"/>
  <c r="AI270" i="28"/>
  <c r="AI270" i="27"/>
  <c r="AI270" i="29"/>
  <c r="AI270" i="25"/>
  <c r="AI269" i="19"/>
  <c r="AM271" i="22"/>
  <c r="DL271" i="22" s="1"/>
  <c r="X271" i="22"/>
  <c r="S271" i="22"/>
  <c r="U271" i="22"/>
  <c r="AQ271" i="22"/>
  <c r="W271" i="22"/>
  <c r="AB271" i="22"/>
  <c r="AA271" i="22"/>
  <c r="Y271" i="22"/>
  <c r="AC271" i="22"/>
  <c r="Z271" i="22"/>
  <c r="AD271" i="22"/>
  <c r="AM271" i="27"/>
  <c r="DL271" i="27" s="1"/>
  <c r="W271" i="27"/>
  <c r="U271" i="27"/>
  <c r="X271" i="27"/>
  <c r="S271" i="27"/>
  <c r="AQ271" i="27"/>
  <c r="Y271" i="27"/>
  <c r="AA271" i="27"/>
  <c r="AB271" i="27"/>
  <c r="AC271" i="27"/>
  <c r="Z271" i="27"/>
  <c r="AD271" i="27"/>
  <c r="AM271" i="21"/>
  <c r="DL271" i="21" s="1"/>
  <c r="W271" i="21"/>
  <c r="U271" i="21"/>
  <c r="X271" i="21"/>
  <c r="AQ271" i="21"/>
  <c r="S271" i="21"/>
  <c r="AB271" i="21"/>
  <c r="AC271" i="21"/>
  <c r="AA271" i="21"/>
  <c r="Y271" i="21"/>
  <c r="Z271" i="21"/>
  <c r="AD271" i="21"/>
  <c r="A272" i="19"/>
  <c r="R271" i="19"/>
  <c r="AH271" i="19"/>
  <c r="AJ271" i="19" s="1"/>
  <c r="P271" i="19"/>
  <c r="BC271" i="19" s="1"/>
  <c r="AW271" i="19"/>
  <c r="R272" i="29"/>
  <c r="AH272" i="29"/>
  <c r="AJ272" i="29" s="1"/>
  <c r="A273" i="29"/>
  <c r="AW272" i="29"/>
  <c r="P272" i="29"/>
  <c r="BC272" i="29" s="1"/>
  <c r="AM270" i="19"/>
  <c r="DL270" i="19" s="1"/>
  <c r="U270" i="19"/>
  <c r="W270" i="19"/>
  <c r="AQ270" i="19"/>
  <c r="S270" i="19"/>
  <c r="X270" i="19"/>
  <c r="AA270" i="19"/>
  <c r="AB270" i="19"/>
  <c r="Y270" i="19"/>
  <c r="AC270" i="19"/>
  <c r="Z270" i="19"/>
  <c r="AD270" i="19"/>
  <c r="AM271" i="20"/>
  <c r="DL271" i="20" s="1"/>
  <c r="U271" i="20"/>
  <c r="W271" i="20"/>
  <c r="S271" i="20"/>
  <c r="AQ271" i="20"/>
  <c r="X271" i="20"/>
  <c r="AC271" i="20"/>
  <c r="AA271" i="20"/>
  <c r="AB271" i="20"/>
  <c r="Y271" i="20"/>
  <c r="AD271" i="20"/>
  <c r="Z271" i="20"/>
  <c r="A273" i="23"/>
  <c r="R272" i="23"/>
  <c r="AH272" i="23"/>
  <c r="AJ272" i="23" s="1"/>
  <c r="P272" i="23"/>
  <c r="BC272" i="23" s="1"/>
  <c r="AW272" i="23"/>
  <c r="AM271" i="25"/>
  <c r="DL271" i="25" s="1"/>
  <c r="W271" i="25"/>
  <c r="U271" i="25"/>
  <c r="X271" i="25"/>
  <c r="AQ271" i="25"/>
  <c r="S271" i="25"/>
  <c r="Y271" i="25"/>
  <c r="AA271" i="25"/>
  <c r="AC271" i="25"/>
  <c r="AB271" i="25"/>
  <c r="Z271" i="25"/>
  <c r="AD271" i="25"/>
  <c r="AH272" i="24"/>
  <c r="AJ272" i="24" s="1"/>
  <c r="A273" i="24"/>
  <c r="R272" i="24"/>
  <c r="P272" i="24"/>
  <c r="BC272" i="24" s="1"/>
  <c r="AW272" i="24"/>
  <c r="AH272" i="26"/>
  <c r="AJ272" i="26" s="1"/>
  <c r="A273" i="26"/>
  <c r="R272" i="26"/>
  <c r="P272" i="26"/>
  <c r="BC272" i="26" s="1"/>
  <c r="AW272" i="26"/>
  <c r="R272" i="20"/>
  <c r="AH272" i="20"/>
  <c r="AJ272" i="20" s="1"/>
  <c r="A273" i="20"/>
  <c r="AW272" i="20"/>
  <c r="P272" i="20"/>
  <c r="BC272" i="20" s="1"/>
  <c r="A273" i="28"/>
  <c r="R272" i="28"/>
  <c r="AH272" i="28"/>
  <c r="AJ272" i="28" s="1"/>
  <c r="P272" i="28"/>
  <c r="BC272" i="28" s="1"/>
  <c r="AW272" i="28"/>
  <c r="R272" i="27"/>
  <c r="AH272" i="27"/>
  <c r="AJ272" i="27" s="1"/>
  <c r="A273" i="27"/>
  <c r="P272" i="27"/>
  <c r="BC272" i="27" s="1"/>
  <c r="AW272" i="27"/>
  <c r="A273" i="25"/>
  <c r="R272" i="25"/>
  <c r="AH272" i="25"/>
  <c r="AJ272" i="25" s="1"/>
  <c r="AW272" i="25"/>
  <c r="P272" i="25"/>
  <c r="BC272" i="25" s="1"/>
  <c r="AI270" i="3"/>
  <c r="AM271" i="3"/>
  <c r="DL271" i="3" s="1"/>
  <c r="U271" i="3"/>
  <c r="W271" i="3"/>
  <c r="X271" i="3"/>
  <c r="S271" i="3"/>
  <c r="AQ271" i="3"/>
  <c r="AA271" i="3"/>
  <c r="AB271" i="3"/>
  <c r="Y271" i="3"/>
  <c r="AC271" i="3"/>
  <c r="Z271" i="3"/>
  <c r="AD271" i="3"/>
  <c r="AM271" i="23"/>
  <c r="DL271" i="23" s="1"/>
  <c r="U271" i="23"/>
  <c r="X271" i="23"/>
  <c r="W271" i="23"/>
  <c r="AQ271" i="23"/>
  <c r="S271" i="23"/>
  <c r="AC271" i="23"/>
  <c r="AA271" i="23"/>
  <c r="Y271" i="23"/>
  <c r="AB271" i="23"/>
  <c r="AD271" i="23"/>
  <c r="Z271" i="23"/>
  <c r="R272" i="22"/>
  <c r="AH272" i="22"/>
  <c r="AJ272" i="22" s="1"/>
  <c r="A273" i="22"/>
  <c r="P272" i="22"/>
  <c r="BC272" i="22" s="1"/>
  <c r="AW272" i="22"/>
  <c r="A273" i="21"/>
  <c r="R272" i="21"/>
  <c r="AH272" i="21"/>
  <c r="AJ272" i="21" s="1"/>
  <c r="P272" i="21"/>
  <c r="BC272" i="21" s="1"/>
  <c r="AW272" i="21"/>
  <c r="AM271" i="24"/>
  <c r="DL271" i="24" s="1"/>
  <c r="X271" i="24"/>
  <c r="S271" i="24"/>
  <c r="U271" i="24"/>
  <c r="AQ271" i="24"/>
  <c r="W271" i="24"/>
  <c r="AC271" i="24"/>
  <c r="AB271" i="24"/>
  <c r="Y271" i="24"/>
  <c r="AA271" i="24"/>
  <c r="AD271" i="24"/>
  <c r="Z271" i="24"/>
  <c r="AI270" i="24"/>
  <c r="AM271" i="26"/>
  <c r="DL271" i="26" s="1"/>
  <c r="U271" i="26"/>
  <c r="X271" i="26"/>
  <c r="W271" i="26"/>
  <c r="AQ271" i="26"/>
  <c r="S271" i="26"/>
  <c r="Y271" i="26"/>
  <c r="AA271" i="26"/>
  <c r="AB271" i="26"/>
  <c r="AC271" i="26"/>
  <c r="AD271" i="26"/>
  <c r="Z271" i="26"/>
  <c r="AM271" i="29"/>
  <c r="DL271" i="29" s="1"/>
  <c r="W271" i="29"/>
  <c r="U271" i="29"/>
  <c r="X271" i="29"/>
  <c r="S271" i="29"/>
  <c r="AQ271" i="29"/>
  <c r="Y271" i="29"/>
  <c r="AA271" i="29"/>
  <c r="AB271" i="29"/>
  <c r="AC271" i="29"/>
  <c r="AD271" i="29"/>
  <c r="Z271" i="29"/>
  <c r="AI270" i="26"/>
  <c r="A273" i="3"/>
  <c r="R272" i="3"/>
  <c r="AH272" i="3"/>
  <c r="AJ272" i="3" s="1"/>
  <c r="AW272" i="3"/>
  <c r="P272" i="3"/>
  <c r="BC272" i="3" s="1"/>
  <c r="AM271" i="28"/>
  <c r="DL271" i="28" s="1"/>
  <c r="W271" i="28"/>
  <c r="AQ271" i="28"/>
  <c r="X271" i="28"/>
  <c r="U271" i="28"/>
  <c r="S271" i="28"/>
  <c r="Y271" i="28"/>
  <c r="AA271" i="28"/>
  <c r="AB271" i="28"/>
  <c r="AC271" i="28"/>
  <c r="Z271" i="28"/>
  <c r="AD271" i="28"/>
  <c r="M401" i="19" l="1"/>
  <c r="M401" i="20"/>
  <c r="E50" i="18"/>
  <c r="M387" i="19"/>
  <c r="M386" i="19"/>
  <c r="D50" i="18"/>
  <c r="M386" i="25"/>
  <c r="M394" i="25"/>
  <c r="H376" i="21"/>
  <c r="I376" i="21" s="1"/>
  <c r="F33" i="18" s="1"/>
  <c r="H376" i="27"/>
  <c r="I376" i="27" s="1"/>
  <c r="L33" i="18" s="1"/>
  <c r="H376" i="22"/>
  <c r="I376" i="22" s="1"/>
  <c r="G33" i="18" s="1"/>
  <c r="M387" i="27"/>
  <c r="H376" i="20"/>
  <c r="I376" i="20" s="1"/>
  <c r="E33" i="18" s="1"/>
  <c r="H376" i="24"/>
  <c r="I376" i="24" s="1"/>
  <c r="I33" i="18" s="1"/>
  <c r="H376" i="28"/>
  <c r="I376" i="28" s="1"/>
  <c r="M33" i="18" s="1"/>
  <c r="M386" i="27"/>
  <c r="M394" i="27"/>
  <c r="L50" i="18"/>
  <c r="M386" i="20"/>
  <c r="M387" i="20"/>
  <c r="M387" i="25"/>
  <c r="M50" i="18"/>
  <c r="M401" i="25"/>
  <c r="M386" i="3"/>
  <c r="M387" i="23"/>
  <c r="M401" i="23"/>
  <c r="M386" i="23"/>
  <c r="M387" i="26"/>
  <c r="M394" i="23"/>
  <c r="M401" i="28"/>
  <c r="H376" i="29"/>
  <c r="I376" i="29" s="1"/>
  <c r="N33" i="18" s="1"/>
  <c r="H376" i="23"/>
  <c r="I376" i="23" s="1"/>
  <c r="H33" i="18" s="1"/>
  <c r="H376" i="19"/>
  <c r="I376" i="19" s="1"/>
  <c r="D33" i="18" s="1"/>
  <c r="M401" i="3"/>
  <c r="H376" i="25"/>
  <c r="I376" i="25" s="1"/>
  <c r="J33" i="18" s="1"/>
  <c r="M387" i="3"/>
  <c r="M394" i="3"/>
  <c r="F50" i="18"/>
  <c r="H376" i="26"/>
  <c r="I376" i="26" s="1"/>
  <c r="K33" i="18" s="1"/>
  <c r="M394" i="24"/>
  <c r="M394" i="21"/>
  <c r="M387" i="21"/>
  <c r="M401" i="21"/>
  <c r="M394" i="26"/>
  <c r="M386" i="28"/>
  <c r="M387" i="28"/>
  <c r="M387" i="24"/>
  <c r="M401" i="22"/>
  <c r="M386" i="22"/>
  <c r="M387" i="22"/>
  <c r="M386" i="26"/>
  <c r="M386" i="24"/>
  <c r="M394" i="22"/>
  <c r="M401" i="26"/>
  <c r="M401" i="24"/>
  <c r="DB260" i="3"/>
  <c r="CF260" i="3"/>
  <c r="DB259" i="3" s="1"/>
  <c r="AP264" i="3"/>
  <c r="AR264" i="3" s="1"/>
  <c r="AO264" i="3"/>
  <c r="AL265" i="3"/>
  <c r="AN265" i="3" s="1"/>
  <c r="AK266" i="3"/>
  <c r="P62" i="29"/>
  <c r="AI271" i="21"/>
  <c r="AI271" i="3"/>
  <c r="AI271" i="25"/>
  <c r="AI270" i="19"/>
  <c r="AI271" i="22"/>
  <c r="AI271" i="26"/>
  <c r="AM272" i="3"/>
  <c r="DL272" i="3" s="1"/>
  <c r="W272" i="3"/>
  <c r="X272" i="3"/>
  <c r="U272" i="3"/>
  <c r="S272" i="3"/>
  <c r="AQ272" i="3"/>
  <c r="Y272" i="3"/>
  <c r="AC272" i="3"/>
  <c r="AC7" i="3" s="1"/>
  <c r="AB272" i="3"/>
  <c r="AA272" i="3"/>
  <c r="Z272" i="3"/>
  <c r="AD272" i="3"/>
  <c r="R273" i="3"/>
  <c r="AH273" i="3"/>
  <c r="AJ273" i="3" s="1"/>
  <c r="A274" i="3"/>
  <c r="P273" i="3"/>
  <c r="BC273" i="3" s="1"/>
  <c r="AW273" i="3"/>
  <c r="R273" i="25"/>
  <c r="AH273" i="25"/>
  <c r="AJ273" i="25" s="1"/>
  <c r="A274" i="25"/>
  <c r="P273" i="25"/>
  <c r="BC273" i="25" s="1"/>
  <c r="AW273" i="25"/>
  <c r="AI271" i="29"/>
  <c r="AM272" i="22"/>
  <c r="DL272" i="22" s="1"/>
  <c r="U272" i="22"/>
  <c r="S272" i="22"/>
  <c r="W272" i="22"/>
  <c r="AQ272" i="22"/>
  <c r="X272" i="22"/>
  <c r="AB272" i="22"/>
  <c r="AC272" i="22"/>
  <c r="AA272" i="22"/>
  <c r="Y272" i="22"/>
  <c r="Z272" i="22"/>
  <c r="AD272" i="22"/>
  <c r="AI271" i="20"/>
  <c r="AI271" i="24"/>
  <c r="AM272" i="21"/>
  <c r="DL272" i="21" s="1"/>
  <c r="U272" i="21"/>
  <c r="W272" i="21"/>
  <c r="AQ272" i="21"/>
  <c r="X272" i="21"/>
  <c r="S272" i="21"/>
  <c r="AC272" i="21"/>
  <c r="Y272" i="21"/>
  <c r="AB272" i="21"/>
  <c r="AA272" i="21"/>
  <c r="Z272" i="21"/>
  <c r="AD272" i="21"/>
  <c r="AI271" i="23"/>
  <c r="AM272" i="20"/>
  <c r="DL272" i="20" s="1"/>
  <c r="W272" i="20"/>
  <c r="X272" i="20"/>
  <c r="S272" i="20"/>
  <c r="U272" i="20"/>
  <c r="AQ272" i="20"/>
  <c r="AB272" i="20"/>
  <c r="AC272" i="20"/>
  <c r="Y272" i="20"/>
  <c r="AA272" i="20"/>
  <c r="AD272" i="20"/>
  <c r="Z272" i="20"/>
  <c r="AI271" i="27"/>
  <c r="R273" i="21"/>
  <c r="AH273" i="21"/>
  <c r="AJ273" i="21" s="1"/>
  <c r="A274" i="21"/>
  <c r="P273" i="21"/>
  <c r="BC273" i="21" s="1"/>
  <c r="AW273" i="21"/>
  <c r="AM272" i="28"/>
  <c r="DL272" i="28" s="1"/>
  <c r="AQ272" i="28"/>
  <c r="U272" i="28"/>
  <c r="W272" i="28"/>
  <c r="X272" i="28"/>
  <c r="S272" i="28"/>
  <c r="Y272" i="28"/>
  <c r="AB272" i="28"/>
  <c r="AA272" i="28"/>
  <c r="AC272" i="28"/>
  <c r="AD272" i="28"/>
  <c r="Z272" i="28"/>
  <c r="AM271" i="19"/>
  <c r="DL271" i="19" s="1"/>
  <c r="U271" i="19"/>
  <c r="AQ271" i="19"/>
  <c r="S271" i="19"/>
  <c r="X271" i="19"/>
  <c r="W271" i="19"/>
  <c r="Y271" i="19"/>
  <c r="AB271" i="19"/>
  <c r="AC271" i="19"/>
  <c r="AA271" i="19"/>
  <c r="Z271" i="19"/>
  <c r="AD271" i="19"/>
  <c r="A274" i="27"/>
  <c r="R273" i="27"/>
  <c r="P273" i="27"/>
  <c r="BC273" i="27" s="1"/>
  <c r="AH273" i="27"/>
  <c r="AJ273" i="27" s="1"/>
  <c r="AW273" i="27"/>
  <c r="R273" i="28"/>
  <c r="AH273" i="28"/>
  <c r="AJ273" i="28" s="1"/>
  <c r="A274" i="28"/>
  <c r="P273" i="28"/>
  <c r="BC273" i="28" s="1"/>
  <c r="AW273" i="28"/>
  <c r="AM272" i="24"/>
  <c r="DL272" i="24" s="1"/>
  <c r="S272" i="24"/>
  <c r="U272" i="24"/>
  <c r="X272" i="24"/>
  <c r="AQ272" i="24"/>
  <c r="W272" i="24"/>
  <c r="Y272" i="24"/>
  <c r="AA272" i="24"/>
  <c r="AB272" i="24"/>
  <c r="AC272" i="24"/>
  <c r="Z272" i="24"/>
  <c r="AD272" i="24"/>
  <c r="A274" i="29"/>
  <c r="R273" i="29"/>
  <c r="AH273" i="29"/>
  <c r="AJ273" i="29" s="1"/>
  <c r="P273" i="29"/>
  <c r="BC273" i="29" s="1"/>
  <c r="AW273" i="29"/>
  <c r="R272" i="19"/>
  <c r="AH272" i="19"/>
  <c r="AJ272" i="19" s="1"/>
  <c r="A273" i="19"/>
  <c r="P272" i="19"/>
  <c r="BC272" i="19" s="1"/>
  <c r="AW272" i="19"/>
  <c r="A274" i="24"/>
  <c r="R273" i="24"/>
  <c r="AH273" i="24"/>
  <c r="AJ273" i="24" s="1"/>
  <c r="P273" i="24"/>
  <c r="BC273" i="24" s="1"/>
  <c r="AW273" i="24"/>
  <c r="AM272" i="29"/>
  <c r="DL272" i="29" s="1"/>
  <c r="S272" i="29"/>
  <c r="X272" i="29"/>
  <c r="U272" i="29"/>
  <c r="AQ272" i="29"/>
  <c r="W272" i="29"/>
  <c r="Y272" i="29"/>
  <c r="AB272" i="29"/>
  <c r="AC272" i="29"/>
  <c r="AA272" i="29"/>
  <c r="Z272" i="29"/>
  <c r="AD272" i="29"/>
  <c r="AI271" i="28"/>
  <c r="A274" i="22"/>
  <c r="R273" i="22"/>
  <c r="AH273" i="22"/>
  <c r="AJ273" i="22" s="1"/>
  <c r="AW273" i="22"/>
  <c r="P273" i="22"/>
  <c r="BC273" i="22" s="1"/>
  <c r="AM272" i="25"/>
  <c r="DL272" i="25" s="1"/>
  <c r="S272" i="25"/>
  <c r="X272" i="25"/>
  <c r="U272" i="25"/>
  <c r="W272" i="25"/>
  <c r="AQ272" i="25"/>
  <c r="Y272" i="25"/>
  <c r="AA272" i="25"/>
  <c r="AC272" i="25"/>
  <c r="AB272" i="25"/>
  <c r="AD272" i="25"/>
  <c r="Z272" i="25"/>
  <c r="A274" i="26"/>
  <c r="R273" i="26"/>
  <c r="AH273" i="26"/>
  <c r="AJ273" i="26" s="1"/>
  <c r="AW273" i="26"/>
  <c r="P273" i="26"/>
  <c r="BC273" i="26" s="1"/>
  <c r="AM272" i="23"/>
  <c r="DL272" i="23" s="1"/>
  <c r="AQ272" i="23"/>
  <c r="X272" i="23"/>
  <c r="W272" i="23"/>
  <c r="U272" i="23"/>
  <c r="S272" i="23"/>
  <c r="AA272" i="23"/>
  <c r="AB272" i="23"/>
  <c r="Y272" i="23"/>
  <c r="AC272" i="23"/>
  <c r="Z272" i="23"/>
  <c r="AD272" i="23"/>
  <c r="AM272" i="27"/>
  <c r="DL272" i="27" s="1"/>
  <c r="U272" i="27"/>
  <c r="X272" i="27"/>
  <c r="S272" i="27"/>
  <c r="AQ272" i="27"/>
  <c r="W272" i="27"/>
  <c r="AC272" i="27"/>
  <c r="AA272" i="27"/>
  <c r="Y272" i="27"/>
  <c r="AB272" i="27"/>
  <c r="AD272" i="27"/>
  <c r="Z272" i="27"/>
  <c r="AM272" i="26"/>
  <c r="DL272" i="26" s="1"/>
  <c r="S272" i="26"/>
  <c r="U272" i="26"/>
  <c r="W272" i="26"/>
  <c r="AQ272" i="26"/>
  <c r="X272" i="26"/>
  <c r="Y272" i="26"/>
  <c r="AB272" i="26"/>
  <c r="AC272" i="26"/>
  <c r="AA272" i="26"/>
  <c r="Z272" i="26"/>
  <c r="AD272" i="26"/>
  <c r="A274" i="20"/>
  <c r="R273" i="20"/>
  <c r="AH273" i="20"/>
  <c r="AJ273" i="20" s="1"/>
  <c r="P273" i="20"/>
  <c r="BC273" i="20" s="1"/>
  <c r="AW273" i="20"/>
  <c r="R273" i="23"/>
  <c r="AH273" i="23"/>
  <c r="AJ273" i="23" s="1"/>
  <c r="A274" i="23"/>
  <c r="P273" i="23"/>
  <c r="BC273" i="23" s="1"/>
  <c r="AW273" i="23"/>
  <c r="O50" i="18" l="1"/>
  <c r="O33" i="18"/>
  <c r="AK267" i="3"/>
  <c r="AL266" i="3"/>
  <c r="AN266" i="3" s="1"/>
  <c r="AP265" i="3"/>
  <c r="AR265" i="3" s="1"/>
  <c r="AO265" i="3"/>
  <c r="DB261" i="3"/>
  <c r="DJ261" i="3"/>
  <c r="AI272" i="3"/>
  <c r="AI272" i="26"/>
  <c r="AI271" i="19"/>
  <c r="AI272" i="29"/>
  <c r="AI272" i="25"/>
  <c r="AM273" i="22"/>
  <c r="DL273" i="22" s="1"/>
  <c r="U273" i="22"/>
  <c r="X273" i="22"/>
  <c r="S273" i="22"/>
  <c r="AQ273" i="22"/>
  <c r="W273" i="22"/>
  <c r="Y273" i="22"/>
  <c r="AB273" i="22"/>
  <c r="AA273" i="22"/>
  <c r="AC273" i="22"/>
  <c r="AD273" i="22"/>
  <c r="Z273" i="22"/>
  <c r="AH273" i="19"/>
  <c r="AJ273" i="19" s="1"/>
  <c r="A274" i="19"/>
  <c r="R273" i="19"/>
  <c r="AW273" i="19"/>
  <c r="P273" i="19"/>
  <c r="BC273" i="19" s="1"/>
  <c r="R274" i="29"/>
  <c r="AH274" i="29"/>
  <c r="AJ274" i="29" s="1"/>
  <c r="A275" i="29"/>
  <c r="P274" i="29"/>
  <c r="BC274" i="29" s="1"/>
  <c r="AW274" i="29"/>
  <c r="R274" i="28"/>
  <c r="AH274" i="28"/>
  <c r="AJ274" i="28" s="1"/>
  <c r="A275" i="28"/>
  <c r="P274" i="28"/>
  <c r="BC274" i="28" s="1"/>
  <c r="AW274" i="28"/>
  <c r="R274" i="27"/>
  <c r="AH274" i="27"/>
  <c r="AJ274" i="27" s="1"/>
  <c r="A275" i="27"/>
  <c r="P274" i="27"/>
  <c r="BC274" i="27" s="1"/>
  <c r="AW274" i="27"/>
  <c r="AI272" i="20"/>
  <c r="AH274" i="3"/>
  <c r="AJ274" i="3" s="1"/>
  <c r="A275" i="3"/>
  <c r="R274" i="3"/>
  <c r="P274" i="3"/>
  <c r="BC274" i="3" s="1"/>
  <c r="AW274" i="3"/>
  <c r="AM272" i="19"/>
  <c r="DL272" i="19" s="1"/>
  <c r="U272" i="19"/>
  <c r="U7" i="19" s="1"/>
  <c r="X272" i="19"/>
  <c r="X7" i="19" s="1"/>
  <c r="S272" i="19"/>
  <c r="AQ272" i="19"/>
  <c r="W272" i="19"/>
  <c r="AB272" i="19"/>
  <c r="AB7" i="19" s="1"/>
  <c r="Y272" i="19"/>
  <c r="AA272" i="19"/>
  <c r="AA7" i="19" s="1"/>
  <c r="AC272" i="19"/>
  <c r="AC7" i="19" s="1"/>
  <c r="AD272" i="19"/>
  <c r="AD7" i="19" s="1"/>
  <c r="Z272" i="19"/>
  <c r="Z7" i="19" s="1"/>
  <c r="AI272" i="24"/>
  <c r="AM273" i="28"/>
  <c r="DL273" i="28" s="1"/>
  <c r="W273" i="28"/>
  <c r="AQ273" i="28"/>
  <c r="S273" i="28"/>
  <c r="X273" i="28"/>
  <c r="U273" i="28"/>
  <c r="AA273" i="28"/>
  <c r="Y273" i="28"/>
  <c r="AC273" i="28"/>
  <c r="AB273" i="28"/>
  <c r="AD273" i="28"/>
  <c r="Z273" i="28"/>
  <c r="R274" i="22"/>
  <c r="AH274" i="22"/>
  <c r="AJ274" i="22" s="1"/>
  <c r="A275" i="22"/>
  <c r="P274" i="22"/>
  <c r="BC274" i="22" s="1"/>
  <c r="AW274" i="22"/>
  <c r="W273" i="24"/>
  <c r="AM273" i="24"/>
  <c r="DL273" i="24" s="1"/>
  <c r="X273" i="24"/>
  <c r="AQ273" i="24"/>
  <c r="S273" i="24"/>
  <c r="U273" i="24"/>
  <c r="AA273" i="24"/>
  <c r="AC273" i="24"/>
  <c r="Y273" i="24"/>
  <c r="AB273" i="24"/>
  <c r="Z273" i="24"/>
  <c r="AD273" i="24"/>
  <c r="A275" i="25"/>
  <c r="R274" i="25"/>
  <c r="AH274" i="25"/>
  <c r="AJ274" i="25" s="1"/>
  <c r="P274" i="25"/>
  <c r="BC274" i="25" s="1"/>
  <c r="AW274" i="25"/>
  <c r="AM273" i="3"/>
  <c r="DL273" i="3" s="1"/>
  <c r="U273" i="3"/>
  <c r="W273" i="3"/>
  <c r="X273" i="3"/>
  <c r="AQ273" i="3"/>
  <c r="S273" i="3"/>
  <c r="Y273" i="3"/>
  <c r="AC273" i="3"/>
  <c r="AA273" i="3"/>
  <c r="AB273" i="3"/>
  <c r="AD273" i="3"/>
  <c r="Z273" i="3"/>
  <c r="AI272" i="27"/>
  <c r="AM273" i="20"/>
  <c r="DL273" i="20" s="1"/>
  <c r="S273" i="20"/>
  <c r="U273" i="20"/>
  <c r="X273" i="20"/>
  <c r="AQ273" i="20"/>
  <c r="W273" i="20"/>
  <c r="AB273" i="20"/>
  <c r="Y273" i="20"/>
  <c r="AA273" i="20"/>
  <c r="AC273" i="20"/>
  <c r="AD273" i="20"/>
  <c r="Z273" i="20"/>
  <c r="R274" i="24"/>
  <c r="AH274" i="24"/>
  <c r="AJ274" i="24" s="1"/>
  <c r="A275" i="24"/>
  <c r="P274" i="24"/>
  <c r="BC274" i="24" s="1"/>
  <c r="AW274" i="24"/>
  <c r="R274" i="21"/>
  <c r="AH274" i="21"/>
  <c r="AJ274" i="21" s="1"/>
  <c r="A275" i="21"/>
  <c r="AW274" i="21"/>
  <c r="P274" i="21"/>
  <c r="BC274" i="21" s="1"/>
  <c r="AI272" i="22"/>
  <c r="AI272" i="28"/>
  <c r="AM273" i="25"/>
  <c r="DL273" i="25" s="1"/>
  <c r="W273" i="25"/>
  <c r="U273" i="25"/>
  <c r="AQ273" i="25"/>
  <c r="X273" i="25"/>
  <c r="S273" i="25"/>
  <c r="Y273" i="25"/>
  <c r="AB273" i="25"/>
  <c r="AC273" i="25"/>
  <c r="AA273" i="25"/>
  <c r="Z273" i="25"/>
  <c r="AD273" i="25"/>
  <c r="AH274" i="23"/>
  <c r="AJ274" i="23" s="1"/>
  <c r="A275" i="23"/>
  <c r="R274" i="23"/>
  <c r="P274" i="23"/>
  <c r="BC274" i="23" s="1"/>
  <c r="AW274" i="23"/>
  <c r="AM273" i="26"/>
  <c r="DL273" i="26" s="1"/>
  <c r="W273" i="26"/>
  <c r="U273" i="26"/>
  <c r="S273" i="26"/>
  <c r="AQ273" i="26"/>
  <c r="X273" i="26"/>
  <c r="Y273" i="26"/>
  <c r="AB273" i="26"/>
  <c r="AC273" i="26"/>
  <c r="AA273" i="26"/>
  <c r="AD273" i="26"/>
  <c r="Z273" i="26"/>
  <c r="AM273" i="21"/>
  <c r="DL273" i="21" s="1"/>
  <c r="S273" i="21"/>
  <c r="W273" i="21"/>
  <c r="AQ273" i="21"/>
  <c r="X273" i="21"/>
  <c r="U273" i="21"/>
  <c r="AB273" i="21"/>
  <c r="Y273" i="21"/>
  <c r="AA273" i="21"/>
  <c r="AC273" i="21"/>
  <c r="Z273" i="21"/>
  <c r="AD273" i="21"/>
  <c r="AI272" i="21"/>
  <c r="R274" i="20"/>
  <c r="AH274" i="20"/>
  <c r="AJ274" i="20" s="1"/>
  <c r="A275" i="20"/>
  <c r="AW274" i="20"/>
  <c r="P274" i="20"/>
  <c r="BC274" i="20" s="1"/>
  <c r="AM273" i="23"/>
  <c r="DL273" i="23" s="1"/>
  <c r="W273" i="23"/>
  <c r="S273" i="23"/>
  <c r="U273" i="23"/>
  <c r="X273" i="23"/>
  <c r="AQ273" i="23"/>
  <c r="Y273" i="23"/>
  <c r="AC273" i="23"/>
  <c r="AB273" i="23"/>
  <c r="AA273" i="23"/>
  <c r="Z273" i="23"/>
  <c r="AD273" i="23"/>
  <c r="AI272" i="23"/>
  <c r="R274" i="26"/>
  <c r="AH274" i="26"/>
  <c r="AJ274" i="26" s="1"/>
  <c r="A275" i="26"/>
  <c r="P274" i="26"/>
  <c r="BC274" i="26" s="1"/>
  <c r="AW274" i="26"/>
  <c r="AM273" i="29"/>
  <c r="DL273" i="29" s="1"/>
  <c r="W273" i="29"/>
  <c r="U273" i="29"/>
  <c r="S273" i="29"/>
  <c r="AQ273" i="29"/>
  <c r="X273" i="29"/>
  <c r="Y273" i="29"/>
  <c r="AB273" i="29"/>
  <c r="AA273" i="29"/>
  <c r="AC273" i="29"/>
  <c r="Z273" i="29"/>
  <c r="AD273" i="29"/>
  <c r="AM273" i="27"/>
  <c r="DL273" i="27" s="1"/>
  <c r="X273" i="27"/>
  <c r="S273" i="27"/>
  <c r="U273" i="27"/>
  <c r="AQ273" i="27"/>
  <c r="W273" i="27"/>
  <c r="Y273" i="27"/>
  <c r="AB273" i="27"/>
  <c r="AA273" i="27"/>
  <c r="AC273" i="27"/>
  <c r="Z273" i="27"/>
  <c r="AD273" i="27"/>
  <c r="AP266" i="3" l="1"/>
  <c r="AR266" i="3" s="1"/>
  <c r="AO266" i="3"/>
  <c r="AL267" i="3"/>
  <c r="AN267" i="3" s="1"/>
  <c r="AK268" i="3"/>
  <c r="AI273" i="20"/>
  <c r="AI273" i="28"/>
  <c r="AI273" i="25"/>
  <c r="AI273" i="27"/>
  <c r="AI273" i="21"/>
  <c r="AI273" i="3"/>
  <c r="AI273" i="22"/>
  <c r="AI273" i="24"/>
  <c r="AI273" i="23"/>
  <c r="AM274" i="20"/>
  <c r="DL274" i="20" s="1"/>
  <c r="U274" i="20"/>
  <c r="AQ274" i="20"/>
  <c r="X274" i="20"/>
  <c r="S274" i="20"/>
  <c r="W274" i="20"/>
  <c r="AA274" i="20"/>
  <c r="AC274" i="20"/>
  <c r="Y274" i="20"/>
  <c r="AB274" i="20"/>
  <c r="Z274" i="20"/>
  <c r="AD274" i="20"/>
  <c r="R275" i="25"/>
  <c r="AH275" i="25"/>
  <c r="AJ275" i="25" s="1"/>
  <c r="A276" i="25"/>
  <c r="AW275" i="25"/>
  <c r="P275" i="25"/>
  <c r="BC275" i="25" s="1"/>
  <c r="AH275" i="22"/>
  <c r="AJ275" i="22" s="1"/>
  <c r="A276" i="22"/>
  <c r="R275" i="22"/>
  <c r="P275" i="22"/>
  <c r="BC275" i="22" s="1"/>
  <c r="AW275" i="22"/>
  <c r="A276" i="3"/>
  <c r="R275" i="3"/>
  <c r="AH275" i="3"/>
  <c r="AJ275" i="3" s="1"/>
  <c r="AW275" i="3"/>
  <c r="P275" i="3"/>
  <c r="BC275" i="3" s="1"/>
  <c r="AM274" i="27"/>
  <c r="DL274" i="27" s="1"/>
  <c r="W274" i="27"/>
  <c r="AQ274" i="27"/>
  <c r="X274" i="27"/>
  <c r="U274" i="27"/>
  <c r="S274" i="27"/>
  <c r="Y274" i="27"/>
  <c r="AB274" i="27"/>
  <c r="AA274" i="27"/>
  <c r="AC274" i="27"/>
  <c r="Z274" i="27"/>
  <c r="AD274" i="27"/>
  <c r="AM273" i="19"/>
  <c r="DL273" i="19" s="1"/>
  <c r="X273" i="19"/>
  <c r="U273" i="19"/>
  <c r="S273" i="19"/>
  <c r="W273" i="19"/>
  <c r="AQ273" i="19"/>
  <c r="Y273" i="19"/>
  <c r="AC273" i="19"/>
  <c r="AB273" i="19"/>
  <c r="AA273" i="19"/>
  <c r="AD273" i="19"/>
  <c r="Z273" i="19"/>
  <c r="A276" i="21"/>
  <c r="R275" i="21"/>
  <c r="AH275" i="21"/>
  <c r="AJ275" i="21" s="1"/>
  <c r="AW275" i="21"/>
  <c r="P275" i="21"/>
  <c r="BC275" i="21" s="1"/>
  <c r="AM274" i="24"/>
  <c r="DL274" i="24" s="1"/>
  <c r="AQ274" i="24"/>
  <c r="W274" i="24"/>
  <c r="X274" i="24"/>
  <c r="U274" i="24"/>
  <c r="S274" i="24"/>
  <c r="AA274" i="24"/>
  <c r="AC274" i="24"/>
  <c r="AB274" i="24"/>
  <c r="Y274" i="24"/>
  <c r="AD274" i="24"/>
  <c r="Z274" i="24"/>
  <c r="A275" i="19"/>
  <c r="R274" i="19"/>
  <c r="AH274" i="19"/>
  <c r="AJ274" i="19" s="1"/>
  <c r="P274" i="19"/>
  <c r="BC274" i="19" s="1"/>
  <c r="AW274" i="19"/>
  <c r="AM274" i="22"/>
  <c r="DL274" i="22" s="1"/>
  <c r="S274" i="22"/>
  <c r="W274" i="22"/>
  <c r="X274" i="22"/>
  <c r="AQ274" i="22"/>
  <c r="U274" i="22"/>
  <c r="AB274" i="22"/>
  <c r="AA274" i="22"/>
  <c r="AC274" i="22"/>
  <c r="Y274" i="22"/>
  <c r="AD274" i="22"/>
  <c r="Z274" i="22"/>
  <c r="AH275" i="29"/>
  <c r="AJ275" i="29" s="1"/>
  <c r="A276" i="29"/>
  <c r="R275" i="29"/>
  <c r="AW275" i="29"/>
  <c r="P275" i="29"/>
  <c r="BC275" i="29" s="1"/>
  <c r="A276" i="26"/>
  <c r="R275" i="26"/>
  <c r="AH275" i="26"/>
  <c r="AJ275" i="26" s="1"/>
  <c r="AW275" i="26"/>
  <c r="P275" i="26"/>
  <c r="BC275" i="26" s="1"/>
  <c r="AM274" i="21"/>
  <c r="DL274" i="21" s="1"/>
  <c r="S274" i="21"/>
  <c r="AQ274" i="21"/>
  <c r="X274" i="21"/>
  <c r="W274" i="21"/>
  <c r="U274" i="21"/>
  <c r="AC274" i="21"/>
  <c r="AB274" i="21"/>
  <c r="AA274" i="21"/>
  <c r="Y274" i="21"/>
  <c r="AD274" i="21"/>
  <c r="Z274" i="21"/>
  <c r="Y7" i="19"/>
  <c r="AI272" i="19"/>
  <c r="A276" i="28"/>
  <c r="R275" i="28"/>
  <c r="AH275" i="28"/>
  <c r="AJ275" i="28" s="1"/>
  <c r="AW275" i="28"/>
  <c r="P275" i="28"/>
  <c r="BC275" i="28" s="1"/>
  <c r="AM274" i="29"/>
  <c r="DL274" i="29" s="1"/>
  <c r="AQ274" i="29"/>
  <c r="S274" i="29"/>
  <c r="X274" i="29"/>
  <c r="W274" i="29"/>
  <c r="U274" i="29"/>
  <c r="AB274" i="29"/>
  <c r="AA274" i="29"/>
  <c r="AC274" i="29"/>
  <c r="Y274" i="29"/>
  <c r="AD274" i="29"/>
  <c r="Z274" i="29"/>
  <c r="AI273" i="29"/>
  <c r="AM274" i="26"/>
  <c r="DL274" i="26" s="1"/>
  <c r="AQ274" i="26"/>
  <c r="S274" i="26"/>
  <c r="U274" i="26"/>
  <c r="X274" i="26"/>
  <c r="W274" i="26"/>
  <c r="Y274" i="26"/>
  <c r="AA274" i="26"/>
  <c r="AB274" i="26"/>
  <c r="AC274" i="26"/>
  <c r="Z274" i="26"/>
  <c r="AD274" i="26"/>
  <c r="R275" i="20"/>
  <c r="AH275" i="20"/>
  <c r="AJ275" i="20" s="1"/>
  <c r="A276" i="20"/>
  <c r="AW275" i="20"/>
  <c r="P275" i="20"/>
  <c r="BC275" i="20" s="1"/>
  <c r="AI273" i="26"/>
  <c r="A276" i="23"/>
  <c r="R275" i="23"/>
  <c r="AH275" i="23"/>
  <c r="AJ275" i="23" s="1"/>
  <c r="AW275" i="23"/>
  <c r="P275" i="23"/>
  <c r="BC275" i="23" s="1"/>
  <c r="R275" i="27"/>
  <c r="AH275" i="27"/>
  <c r="AJ275" i="27" s="1"/>
  <c r="A276" i="27"/>
  <c r="AW275" i="27"/>
  <c r="P275" i="27"/>
  <c r="BC275" i="27" s="1"/>
  <c r="AM274" i="28"/>
  <c r="DL274" i="28" s="1"/>
  <c r="W274" i="28"/>
  <c r="U274" i="28"/>
  <c r="S274" i="28"/>
  <c r="AQ274" i="28"/>
  <c r="X274" i="28"/>
  <c r="Y274" i="28"/>
  <c r="AA274" i="28"/>
  <c r="AC274" i="28"/>
  <c r="AB274" i="28"/>
  <c r="Z274" i="28"/>
  <c r="AD274" i="28"/>
  <c r="AM274" i="23"/>
  <c r="DL274" i="23" s="1"/>
  <c r="AQ274" i="23"/>
  <c r="S274" i="23"/>
  <c r="U274" i="23"/>
  <c r="X274" i="23"/>
  <c r="W274" i="23"/>
  <c r="AA274" i="23"/>
  <c r="AB274" i="23"/>
  <c r="Y274" i="23"/>
  <c r="AC274" i="23"/>
  <c r="AD274" i="23"/>
  <c r="Z274" i="23"/>
  <c r="A276" i="24"/>
  <c r="R275" i="24"/>
  <c r="AH275" i="24"/>
  <c r="AJ275" i="24" s="1"/>
  <c r="P275" i="24"/>
  <c r="BC275" i="24" s="1"/>
  <c r="AW275" i="24"/>
  <c r="AM274" i="25"/>
  <c r="DL274" i="25" s="1"/>
  <c r="S274" i="25"/>
  <c r="AQ274" i="25"/>
  <c r="X274" i="25"/>
  <c r="W274" i="25"/>
  <c r="U274" i="25"/>
  <c r="AC274" i="25"/>
  <c r="AB274" i="25"/>
  <c r="Y274" i="25"/>
  <c r="AA274" i="25"/>
  <c r="Z274" i="25"/>
  <c r="AD274" i="25"/>
  <c r="AM274" i="3"/>
  <c r="DL274" i="3" s="1"/>
  <c r="U274" i="3"/>
  <c r="W274" i="3"/>
  <c r="X274" i="3"/>
  <c r="S274" i="3"/>
  <c r="AQ274" i="3"/>
  <c r="AC274" i="3"/>
  <c r="Y274" i="3"/>
  <c r="AB274" i="3"/>
  <c r="AA274" i="3"/>
  <c r="AD274" i="3"/>
  <c r="Z274" i="3"/>
  <c r="AL268" i="3" l="1"/>
  <c r="AN268" i="3" s="1"/>
  <c r="AK269" i="3"/>
  <c r="AP267" i="3"/>
  <c r="AR267" i="3" s="1"/>
  <c r="AO267" i="3"/>
  <c r="AI274" i="29"/>
  <c r="AI274" i="25"/>
  <c r="AI274" i="22"/>
  <c r="AI274" i="21"/>
  <c r="AI274" i="27"/>
  <c r="AI274" i="26"/>
  <c r="AI273" i="19"/>
  <c r="AI274" i="20"/>
  <c r="R276" i="24"/>
  <c r="AH276" i="24"/>
  <c r="AJ276" i="24" s="1"/>
  <c r="A277" i="24"/>
  <c r="AW276" i="24"/>
  <c r="P276" i="24"/>
  <c r="BC276" i="24" s="1"/>
  <c r="R276" i="21"/>
  <c r="AH276" i="21"/>
  <c r="AJ276" i="21" s="1"/>
  <c r="A277" i="21"/>
  <c r="AW276" i="21"/>
  <c r="P276" i="21"/>
  <c r="BC276" i="21" s="1"/>
  <c r="R276" i="25"/>
  <c r="AH276" i="25"/>
  <c r="AJ276" i="25" s="1"/>
  <c r="A277" i="25"/>
  <c r="P276" i="25"/>
  <c r="BC276" i="25" s="1"/>
  <c r="AW276" i="25"/>
  <c r="A277" i="20"/>
  <c r="R276" i="20"/>
  <c r="AH276" i="20"/>
  <c r="AJ276" i="20" s="1"/>
  <c r="AW276" i="20"/>
  <c r="P276" i="20"/>
  <c r="BC276" i="20" s="1"/>
  <c r="AM275" i="28"/>
  <c r="DL275" i="28" s="1"/>
  <c r="W275" i="28"/>
  <c r="AQ275" i="28"/>
  <c r="S275" i="28"/>
  <c r="X275" i="28"/>
  <c r="U275" i="28"/>
  <c r="Y275" i="28"/>
  <c r="AB275" i="28"/>
  <c r="AA275" i="28"/>
  <c r="AC275" i="28"/>
  <c r="AD275" i="28"/>
  <c r="Z275" i="28"/>
  <c r="R276" i="23"/>
  <c r="AH276" i="23"/>
  <c r="AJ276" i="23" s="1"/>
  <c r="A277" i="23"/>
  <c r="AW276" i="23"/>
  <c r="P276" i="23"/>
  <c r="BC276" i="23" s="1"/>
  <c r="AI274" i="23"/>
  <c r="R276" i="28"/>
  <c r="AH276" i="28"/>
  <c r="AJ276" i="28" s="1"/>
  <c r="A277" i="28"/>
  <c r="AW276" i="28"/>
  <c r="P276" i="28"/>
  <c r="BC276" i="28" s="1"/>
  <c r="AM275" i="29"/>
  <c r="DL275" i="29" s="1"/>
  <c r="X275" i="29"/>
  <c r="S275" i="29"/>
  <c r="U275" i="29"/>
  <c r="W275" i="29"/>
  <c r="AQ275" i="29"/>
  <c r="Y275" i="29"/>
  <c r="AC275" i="29"/>
  <c r="AB275" i="29"/>
  <c r="AA275" i="29"/>
  <c r="AD275" i="29"/>
  <c r="Z275" i="29"/>
  <c r="AM275" i="22"/>
  <c r="DL275" i="22" s="1"/>
  <c r="W275" i="22"/>
  <c r="S275" i="22"/>
  <c r="AQ275" i="22"/>
  <c r="U275" i="22"/>
  <c r="X275" i="22"/>
  <c r="AB275" i="22"/>
  <c r="Y275" i="22"/>
  <c r="AC275" i="22"/>
  <c r="AA275" i="22"/>
  <c r="Z275" i="22"/>
  <c r="AD275" i="22"/>
  <c r="AM275" i="25"/>
  <c r="DL275" i="25" s="1"/>
  <c r="X275" i="25"/>
  <c r="AQ275" i="25"/>
  <c r="W275" i="25"/>
  <c r="U275" i="25"/>
  <c r="S275" i="25"/>
  <c r="Y275" i="25"/>
  <c r="AB275" i="25"/>
  <c r="AC275" i="25"/>
  <c r="AA275" i="25"/>
  <c r="Z275" i="25"/>
  <c r="AD275" i="25"/>
  <c r="AI274" i="3"/>
  <c r="AM275" i="23"/>
  <c r="DL275" i="23" s="1"/>
  <c r="S275" i="23"/>
  <c r="U275" i="23"/>
  <c r="W275" i="23"/>
  <c r="AQ275" i="23"/>
  <c r="X275" i="23"/>
  <c r="AA275" i="23"/>
  <c r="AC275" i="23"/>
  <c r="AB275" i="23"/>
  <c r="Y275" i="23"/>
  <c r="Z275" i="23"/>
  <c r="AD275" i="23"/>
  <c r="AM275" i="20"/>
  <c r="DL275" i="20" s="1"/>
  <c r="S275" i="20"/>
  <c r="AQ275" i="20"/>
  <c r="W275" i="20"/>
  <c r="U275" i="20"/>
  <c r="X275" i="20"/>
  <c r="AA275" i="20"/>
  <c r="AB275" i="20"/>
  <c r="AC275" i="20"/>
  <c r="Y275" i="20"/>
  <c r="Z275" i="20"/>
  <c r="AD275" i="20"/>
  <c r="A277" i="29"/>
  <c r="R276" i="29"/>
  <c r="AH276" i="29"/>
  <c r="AJ276" i="29" s="1"/>
  <c r="AW276" i="29"/>
  <c r="P276" i="29"/>
  <c r="BC276" i="29" s="1"/>
  <c r="A277" i="22"/>
  <c r="R276" i="22"/>
  <c r="AH276" i="22"/>
  <c r="AJ276" i="22" s="1"/>
  <c r="AW276" i="22"/>
  <c r="P276" i="22"/>
  <c r="BC276" i="22" s="1"/>
  <c r="AM275" i="26"/>
  <c r="DL275" i="26" s="1"/>
  <c r="X275" i="26"/>
  <c r="AQ275" i="26"/>
  <c r="S275" i="26"/>
  <c r="U275" i="26"/>
  <c r="W275" i="26"/>
  <c r="AB275" i="26"/>
  <c r="AC275" i="26"/>
  <c r="Y275" i="26"/>
  <c r="AA275" i="26"/>
  <c r="Z275" i="26"/>
  <c r="AD275" i="26"/>
  <c r="AM274" i="19"/>
  <c r="DL274" i="19" s="1"/>
  <c r="AQ274" i="19"/>
  <c r="S274" i="19"/>
  <c r="X274" i="19"/>
  <c r="W274" i="19"/>
  <c r="U274" i="19"/>
  <c r="AB274" i="19"/>
  <c r="AC274" i="19"/>
  <c r="AA274" i="19"/>
  <c r="Y274" i="19"/>
  <c r="Z274" i="19"/>
  <c r="AD274" i="19"/>
  <c r="AM275" i="3"/>
  <c r="DL275" i="3" s="1"/>
  <c r="U275" i="3"/>
  <c r="W275" i="3"/>
  <c r="X275" i="3"/>
  <c r="S275" i="3"/>
  <c r="AQ275" i="3"/>
  <c r="AB275" i="3"/>
  <c r="AA275" i="3"/>
  <c r="Y275" i="3"/>
  <c r="AC275" i="3"/>
  <c r="AD275" i="3"/>
  <c r="Z275" i="3"/>
  <c r="A277" i="27"/>
  <c r="R276" i="27"/>
  <c r="AH276" i="27"/>
  <c r="AJ276" i="27" s="1"/>
  <c r="P276" i="27"/>
  <c r="BC276" i="27" s="1"/>
  <c r="AW276" i="27"/>
  <c r="AI274" i="28"/>
  <c r="AM275" i="27"/>
  <c r="DL275" i="27" s="1"/>
  <c r="X275" i="27"/>
  <c r="S275" i="27"/>
  <c r="U275" i="27"/>
  <c r="AQ275" i="27"/>
  <c r="W275" i="27"/>
  <c r="AC275" i="27"/>
  <c r="Y275" i="27"/>
  <c r="AA275" i="27"/>
  <c r="AB275" i="27"/>
  <c r="Z275" i="27"/>
  <c r="AD275" i="27"/>
  <c r="R276" i="26"/>
  <c r="AH276" i="26"/>
  <c r="AJ276" i="26" s="1"/>
  <c r="A277" i="26"/>
  <c r="P276" i="26"/>
  <c r="BC276" i="26" s="1"/>
  <c r="AW276" i="26"/>
  <c r="R275" i="19"/>
  <c r="AH275" i="19"/>
  <c r="AJ275" i="19" s="1"/>
  <c r="A276" i="19"/>
  <c r="AW275" i="19"/>
  <c r="P275" i="19"/>
  <c r="BC275" i="19" s="1"/>
  <c r="R276" i="3"/>
  <c r="AH276" i="3"/>
  <c r="AJ276" i="3" s="1"/>
  <c r="A277" i="3"/>
  <c r="P276" i="3"/>
  <c r="BC276" i="3" s="1"/>
  <c r="AW276" i="3"/>
  <c r="AM275" i="24"/>
  <c r="DL275" i="24" s="1"/>
  <c r="S275" i="24"/>
  <c r="X275" i="24"/>
  <c r="AQ275" i="24"/>
  <c r="W275" i="24"/>
  <c r="U275" i="24"/>
  <c r="Y275" i="24"/>
  <c r="AA275" i="24"/>
  <c r="AB275" i="24"/>
  <c r="AC275" i="24"/>
  <c r="AD275" i="24"/>
  <c r="Z275" i="24"/>
  <c r="AI274" i="24"/>
  <c r="AM275" i="21"/>
  <c r="DL275" i="21" s="1"/>
  <c r="U275" i="21"/>
  <c r="X275" i="21"/>
  <c r="W275" i="21"/>
  <c r="S275" i="21"/>
  <c r="AQ275" i="21"/>
  <c r="Y275" i="21"/>
  <c r="AA275" i="21"/>
  <c r="AC275" i="21"/>
  <c r="AB275" i="21"/>
  <c r="AD275" i="21"/>
  <c r="Z275" i="21"/>
  <c r="AL269" i="3" l="1"/>
  <c r="AN269" i="3" s="1"/>
  <c r="AK270" i="3"/>
  <c r="AP268" i="3"/>
  <c r="AR268" i="3" s="1"/>
  <c r="AO268" i="3"/>
  <c r="AI275" i="28"/>
  <c r="AI275" i="22"/>
  <c r="AI275" i="21"/>
  <c r="AI275" i="25"/>
  <c r="AI275" i="27"/>
  <c r="A278" i="3"/>
  <c r="R277" i="3"/>
  <c r="AH277" i="3"/>
  <c r="AJ277" i="3" s="1"/>
  <c r="P277" i="3"/>
  <c r="BC277" i="3" s="1"/>
  <c r="AW277" i="3"/>
  <c r="AM275" i="19"/>
  <c r="DL275" i="19" s="1"/>
  <c r="X275" i="19"/>
  <c r="S275" i="19"/>
  <c r="U275" i="19"/>
  <c r="AQ275" i="19"/>
  <c r="W275" i="19"/>
  <c r="AC275" i="19"/>
  <c r="AA275" i="19"/>
  <c r="AB275" i="19"/>
  <c r="Y275" i="19"/>
  <c r="AD275" i="19"/>
  <c r="Z275" i="19"/>
  <c r="AM276" i="27"/>
  <c r="DL276" i="27" s="1"/>
  <c r="AQ276" i="27"/>
  <c r="U276" i="27"/>
  <c r="X276" i="27"/>
  <c r="S276" i="27"/>
  <c r="W276" i="27"/>
  <c r="AA276" i="27"/>
  <c r="Y276" i="27"/>
  <c r="AB276" i="27"/>
  <c r="AC276" i="27"/>
  <c r="Z276" i="27"/>
  <c r="AD276" i="27"/>
  <c r="AM276" i="29"/>
  <c r="DL276" i="29" s="1"/>
  <c r="X276" i="29"/>
  <c r="W276" i="29"/>
  <c r="S276" i="29"/>
  <c r="U276" i="29"/>
  <c r="AQ276" i="29"/>
  <c r="AB276" i="29"/>
  <c r="AA276" i="29"/>
  <c r="Y276" i="29"/>
  <c r="AC276" i="29"/>
  <c r="AD276" i="29"/>
  <c r="Z276" i="29"/>
  <c r="AI275" i="24"/>
  <c r="R277" i="27"/>
  <c r="AH277" i="27"/>
  <c r="AJ277" i="27" s="1"/>
  <c r="A278" i="27"/>
  <c r="P277" i="27"/>
  <c r="BC277" i="27" s="1"/>
  <c r="AW277" i="27"/>
  <c r="R277" i="29"/>
  <c r="AH277" i="29"/>
  <c r="AJ277" i="29" s="1"/>
  <c r="A278" i="29"/>
  <c r="P277" i="29"/>
  <c r="BC277" i="29" s="1"/>
  <c r="AW277" i="29"/>
  <c r="A278" i="23"/>
  <c r="R277" i="23"/>
  <c r="AH277" i="23"/>
  <c r="AJ277" i="23" s="1"/>
  <c r="P277" i="23"/>
  <c r="BC277" i="23" s="1"/>
  <c r="AW277" i="23"/>
  <c r="A278" i="25"/>
  <c r="R277" i="25"/>
  <c r="AH277" i="25"/>
  <c r="AJ277" i="25" s="1"/>
  <c r="P277" i="25"/>
  <c r="BC277" i="25" s="1"/>
  <c r="AW277" i="25"/>
  <c r="AM276" i="21"/>
  <c r="DL276" i="21" s="1"/>
  <c r="X276" i="21"/>
  <c r="W276" i="21"/>
  <c r="AQ276" i="21"/>
  <c r="U276" i="21"/>
  <c r="S276" i="21"/>
  <c r="AA276" i="21"/>
  <c r="Y276" i="21"/>
  <c r="AB276" i="21"/>
  <c r="AC276" i="21"/>
  <c r="Z276" i="21"/>
  <c r="AD276" i="21"/>
  <c r="A277" i="19"/>
  <c r="R276" i="19"/>
  <c r="AH276" i="19"/>
  <c r="AJ276" i="19" s="1"/>
  <c r="P276" i="19"/>
  <c r="BC276" i="19" s="1"/>
  <c r="AW276" i="19"/>
  <c r="AM276" i="3"/>
  <c r="DL276" i="3" s="1"/>
  <c r="U276" i="3"/>
  <c r="W276" i="3"/>
  <c r="X276" i="3"/>
  <c r="S276" i="3"/>
  <c r="AQ276" i="3"/>
  <c r="Y276" i="3"/>
  <c r="AB276" i="3"/>
  <c r="AC276" i="3"/>
  <c r="AA276" i="3"/>
  <c r="AD276" i="3"/>
  <c r="Z276" i="3"/>
  <c r="AM276" i="22"/>
  <c r="DL276" i="22" s="1"/>
  <c r="AQ276" i="22"/>
  <c r="W276" i="22"/>
  <c r="U276" i="22"/>
  <c r="X276" i="22"/>
  <c r="S276" i="22"/>
  <c r="AB276" i="22"/>
  <c r="AA276" i="22"/>
  <c r="Y276" i="22"/>
  <c r="AC276" i="22"/>
  <c r="AD276" i="22"/>
  <c r="Z276" i="22"/>
  <c r="AH277" i="28"/>
  <c r="AJ277" i="28" s="1"/>
  <c r="A278" i="28"/>
  <c r="R277" i="28"/>
  <c r="AW277" i="28"/>
  <c r="P277" i="28"/>
  <c r="BC277" i="28" s="1"/>
  <c r="AI275" i="3"/>
  <c r="AI275" i="26"/>
  <c r="R277" i="22"/>
  <c r="AH277" i="22"/>
  <c r="AJ277" i="22" s="1"/>
  <c r="A278" i="22"/>
  <c r="P277" i="22"/>
  <c r="BC277" i="22" s="1"/>
  <c r="AW277" i="22"/>
  <c r="AI275" i="20"/>
  <c r="AI275" i="29"/>
  <c r="AM276" i="23"/>
  <c r="DL276" i="23" s="1"/>
  <c r="X276" i="23"/>
  <c r="U276" i="23"/>
  <c r="W276" i="23"/>
  <c r="S276" i="23"/>
  <c r="AQ276" i="23"/>
  <c r="Y276" i="23"/>
  <c r="AB276" i="23"/>
  <c r="AA276" i="23"/>
  <c r="AC276" i="23"/>
  <c r="AD276" i="23"/>
  <c r="Z276" i="23"/>
  <c r="AM276" i="25"/>
  <c r="DL276" i="25" s="1"/>
  <c r="X276" i="25"/>
  <c r="W276" i="25"/>
  <c r="U276" i="25"/>
  <c r="AQ276" i="25"/>
  <c r="S276" i="25"/>
  <c r="Y276" i="25"/>
  <c r="AA276" i="25"/>
  <c r="AC276" i="25"/>
  <c r="AB276" i="25"/>
  <c r="AD276" i="25"/>
  <c r="Z276" i="25"/>
  <c r="R277" i="26"/>
  <c r="AH277" i="26"/>
  <c r="AJ277" i="26" s="1"/>
  <c r="A278" i="26"/>
  <c r="AW277" i="26"/>
  <c r="P277" i="26"/>
  <c r="BC277" i="26" s="1"/>
  <c r="AM276" i="28"/>
  <c r="DL276" i="28" s="1"/>
  <c r="X276" i="28"/>
  <c r="AQ276" i="28"/>
  <c r="U276" i="28"/>
  <c r="W276" i="28"/>
  <c r="S276" i="28"/>
  <c r="AA276" i="28"/>
  <c r="Y276" i="28"/>
  <c r="AB276" i="28"/>
  <c r="AC276" i="28"/>
  <c r="AD276" i="28"/>
  <c r="Z276" i="28"/>
  <c r="AM276" i="20"/>
  <c r="DL276" i="20" s="1"/>
  <c r="S276" i="20"/>
  <c r="X276" i="20"/>
  <c r="U276" i="20"/>
  <c r="W276" i="20"/>
  <c r="AQ276" i="20"/>
  <c r="Y276" i="20"/>
  <c r="AC276" i="20"/>
  <c r="AA276" i="20"/>
  <c r="AB276" i="20"/>
  <c r="AD276" i="20"/>
  <c r="Z276" i="20"/>
  <c r="R277" i="20"/>
  <c r="AH277" i="20"/>
  <c r="AJ277" i="20" s="1"/>
  <c r="A278" i="20"/>
  <c r="P277" i="20"/>
  <c r="BC277" i="20" s="1"/>
  <c r="AW277" i="20"/>
  <c r="R277" i="24"/>
  <c r="AH277" i="24"/>
  <c r="AJ277" i="24" s="1"/>
  <c r="A278" i="24"/>
  <c r="AW277" i="24"/>
  <c r="P277" i="24"/>
  <c r="BC277" i="24" s="1"/>
  <c r="AM276" i="26"/>
  <c r="DL276" i="26" s="1"/>
  <c r="U276" i="26"/>
  <c r="X276" i="26"/>
  <c r="W276" i="26"/>
  <c r="S276" i="26"/>
  <c r="AQ276" i="26"/>
  <c r="AB276" i="26"/>
  <c r="AC276" i="26"/>
  <c r="Y276" i="26"/>
  <c r="AA276" i="26"/>
  <c r="Z276" i="26"/>
  <c r="AD276" i="26"/>
  <c r="AI274" i="19"/>
  <c r="AI275" i="23"/>
  <c r="AH277" i="21"/>
  <c r="AJ277" i="21" s="1"/>
  <c r="A278" i="21"/>
  <c r="R277" i="21"/>
  <c r="AW277" i="21"/>
  <c r="P277" i="21"/>
  <c r="BC277" i="21" s="1"/>
  <c r="AM276" i="24"/>
  <c r="DL276" i="24" s="1"/>
  <c r="W276" i="24"/>
  <c r="U276" i="24"/>
  <c r="AQ276" i="24"/>
  <c r="X276" i="24"/>
  <c r="S276" i="24"/>
  <c r="AB276" i="24"/>
  <c r="AC276" i="24"/>
  <c r="Y276" i="24"/>
  <c r="AA276" i="24"/>
  <c r="Z276" i="24"/>
  <c r="AD276" i="24"/>
  <c r="AL270" i="3" l="1"/>
  <c r="AN270" i="3" s="1"/>
  <c r="AK271" i="3"/>
  <c r="AO269" i="3"/>
  <c r="AP269" i="3"/>
  <c r="AR269" i="3" s="1"/>
  <c r="A324" i="26"/>
  <c r="A324" i="25"/>
  <c r="A321" i="23"/>
  <c r="A321" i="20"/>
  <c r="A324" i="20"/>
  <c r="A321" i="29"/>
  <c r="A324" i="19"/>
  <c r="A321" i="22"/>
  <c r="A324" i="29"/>
  <c r="A324" i="23"/>
  <c r="A324" i="22"/>
  <c r="A321" i="21"/>
  <c r="A321" i="19"/>
  <c r="A321" i="28"/>
  <c r="A321" i="27"/>
  <c r="A324" i="27"/>
  <c r="A324" i="28"/>
  <c r="A321" i="24"/>
  <c r="A321" i="26"/>
  <c r="A324" i="24"/>
  <c r="A321" i="3"/>
  <c r="A321" i="25"/>
  <c r="A324" i="3"/>
  <c r="A324" i="21"/>
  <c r="AI276" i="20"/>
  <c r="AI276" i="26"/>
  <c r="AI275" i="19"/>
  <c r="AI276" i="29"/>
  <c r="AM277" i="21"/>
  <c r="DL277" i="21" s="1"/>
  <c r="U277" i="21"/>
  <c r="X277" i="21"/>
  <c r="S277" i="21"/>
  <c r="W277" i="21"/>
  <c r="AQ277" i="21"/>
  <c r="AC277" i="21"/>
  <c r="AB277" i="21"/>
  <c r="Y277" i="21"/>
  <c r="AA277" i="21"/>
  <c r="AD277" i="21"/>
  <c r="Z277" i="21"/>
  <c r="A279" i="26"/>
  <c r="R278" i="26"/>
  <c r="AH278" i="26"/>
  <c r="AJ278" i="26" s="1"/>
  <c r="P278" i="26"/>
  <c r="BC278" i="26" s="1"/>
  <c r="AW278" i="26"/>
  <c r="A279" i="22"/>
  <c r="R278" i="22"/>
  <c r="AH278" i="22"/>
  <c r="AJ278" i="22" s="1"/>
  <c r="P278" i="22"/>
  <c r="BC278" i="22" s="1"/>
  <c r="AW278" i="22"/>
  <c r="AM277" i="28"/>
  <c r="DL277" i="28" s="1"/>
  <c r="W277" i="28"/>
  <c r="U277" i="28"/>
  <c r="AQ277" i="28"/>
  <c r="S277" i="28"/>
  <c r="X277" i="28"/>
  <c r="Y277" i="28"/>
  <c r="AB277" i="28"/>
  <c r="AA277" i="28"/>
  <c r="AC277" i="28"/>
  <c r="AD277" i="28"/>
  <c r="Z277" i="28"/>
  <c r="R277" i="19"/>
  <c r="AH277" i="19"/>
  <c r="AJ277" i="19" s="1"/>
  <c r="A278" i="19"/>
  <c r="P277" i="19"/>
  <c r="BC277" i="19" s="1"/>
  <c r="AW277" i="19"/>
  <c r="R278" i="23"/>
  <c r="AH278" i="23"/>
  <c r="AJ278" i="23" s="1"/>
  <c r="A279" i="23"/>
  <c r="AW278" i="23"/>
  <c r="P278" i="23"/>
  <c r="BC278" i="23" s="1"/>
  <c r="AI276" i="28"/>
  <c r="A279" i="28"/>
  <c r="R278" i="28"/>
  <c r="AH278" i="28"/>
  <c r="AJ278" i="28" s="1"/>
  <c r="AW278" i="28"/>
  <c r="P278" i="28"/>
  <c r="BC278" i="28" s="1"/>
  <c r="AM277" i="25"/>
  <c r="DL277" i="25" s="1"/>
  <c r="S277" i="25"/>
  <c r="W277" i="25"/>
  <c r="U277" i="25"/>
  <c r="X277" i="25"/>
  <c r="AQ277" i="25"/>
  <c r="AC277" i="25"/>
  <c r="Y277" i="25"/>
  <c r="AB277" i="25"/>
  <c r="AA277" i="25"/>
  <c r="Z277" i="25"/>
  <c r="AD277" i="25"/>
  <c r="A279" i="21"/>
  <c r="R278" i="21"/>
  <c r="AH278" i="21"/>
  <c r="AJ278" i="21" s="1"/>
  <c r="P278" i="21"/>
  <c r="BC278" i="21" s="1"/>
  <c r="AW278" i="21"/>
  <c r="AI276" i="24"/>
  <c r="AM277" i="26"/>
  <c r="DL277" i="26" s="1"/>
  <c r="S277" i="26"/>
  <c r="U277" i="26"/>
  <c r="X277" i="26"/>
  <c r="W277" i="26"/>
  <c r="AQ277" i="26"/>
  <c r="Y277" i="26"/>
  <c r="AB277" i="26"/>
  <c r="AC277" i="26"/>
  <c r="AA277" i="26"/>
  <c r="AD277" i="26"/>
  <c r="Z277" i="26"/>
  <c r="AM277" i="22"/>
  <c r="DL277" i="22" s="1"/>
  <c r="AQ277" i="22"/>
  <c r="U277" i="22"/>
  <c r="X277" i="22"/>
  <c r="S277" i="22"/>
  <c r="W277" i="22"/>
  <c r="AB277" i="22"/>
  <c r="AC277" i="22"/>
  <c r="Y277" i="22"/>
  <c r="AA277" i="22"/>
  <c r="Z277" i="22"/>
  <c r="AD277" i="22"/>
  <c r="AI276" i="21"/>
  <c r="R278" i="25"/>
  <c r="AH278" i="25"/>
  <c r="AJ278" i="25" s="1"/>
  <c r="A279" i="25"/>
  <c r="AW278" i="25"/>
  <c r="P278" i="25"/>
  <c r="BC278" i="25" s="1"/>
  <c r="AH278" i="27"/>
  <c r="AJ278" i="27" s="1"/>
  <c r="A279" i="27"/>
  <c r="R278" i="27"/>
  <c r="P278" i="27"/>
  <c r="BC278" i="27" s="1"/>
  <c r="AW278" i="27"/>
  <c r="AH278" i="20"/>
  <c r="AJ278" i="20" s="1"/>
  <c r="A279" i="20"/>
  <c r="R278" i="20"/>
  <c r="AW278" i="20"/>
  <c r="P278" i="20"/>
  <c r="BC278" i="20" s="1"/>
  <c r="AI276" i="25"/>
  <c r="AI276" i="22"/>
  <c r="AI276" i="27"/>
  <c r="A279" i="24"/>
  <c r="R278" i="24"/>
  <c r="AH278" i="24"/>
  <c r="AJ278" i="24" s="1"/>
  <c r="AW278" i="24"/>
  <c r="P278" i="24"/>
  <c r="BC278" i="24" s="1"/>
  <c r="AM277" i="20"/>
  <c r="DL277" i="20" s="1"/>
  <c r="X277" i="20"/>
  <c r="S277" i="20"/>
  <c r="W277" i="20"/>
  <c r="U277" i="20"/>
  <c r="AQ277" i="20"/>
  <c r="AA277" i="20"/>
  <c r="AC277" i="20"/>
  <c r="Y277" i="20"/>
  <c r="AB277" i="20"/>
  <c r="AD277" i="20"/>
  <c r="Z277" i="20"/>
  <c r="A279" i="29"/>
  <c r="R278" i="29"/>
  <c r="AH278" i="29"/>
  <c r="AJ278" i="29" s="1"/>
  <c r="P278" i="29"/>
  <c r="BC278" i="29" s="1"/>
  <c r="AW278" i="29"/>
  <c r="AM277" i="27"/>
  <c r="DL277" i="27" s="1"/>
  <c r="X277" i="27"/>
  <c r="S277" i="27"/>
  <c r="AQ277" i="27"/>
  <c r="U277" i="27"/>
  <c r="W277" i="27"/>
  <c r="AB277" i="27"/>
  <c r="AA277" i="27"/>
  <c r="Y277" i="27"/>
  <c r="AC277" i="27"/>
  <c r="AD277" i="27"/>
  <c r="Z277" i="27"/>
  <c r="AM277" i="24"/>
  <c r="DL277" i="24" s="1"/>
  <c r="W277" i="24"/>
  <c r="AQ277" i="24"/>
  <c r="S277" i="24"/>
  <c r="X277" i="24"/>
  <c r="U277" i="24"/>
  <c r="Y277" i="24"/>
  <c r="AA277" i="24"/>
  <c r="AC277" i="24"/>
  <c r="AB277" i="24"/>
  <c r="Z277" i="24"/>
  <c r="AD277" i="24"/>
  <c r="AM277" i="29"/>
  <c r="DL277" i="29" s="1"/>
  <c r="X277" i="29"/>
  <c r="S277" i="29"/>
  <c r="W277" i="29"/>
  <c r="U277" i="29"/>
  <c r="AQ277" i="29"/>
  <c r="Y277" i="29"/>
  <c r="AA277" i="29"/>
  <c r="AC277" i="29"/>
  <c r="AB277" i="29"/>
  <c r="Z277" i="29"/>
  <c r="AD277" i="29"/>
  <c r="AM277" i="3"/>
  <c r="DL277" i="3" s="1"/>
  <c r="X277" i="3"/>
  <c r="U277" i="3"/>
  <c r="W277" i="3"/>
  <c r="AQ277" i="3"/>
  <c r="S277" i="3"/>
  <c r="Y277" i="3"/>
  <c r="AA277" i="3"/>
  <c r="AC277" i="3"/>
  <c r="AB277" i="3"/>
  <c r="AD277" i="3"/>
  <c r="Z277" i="3"/>
  <c r="AI276" i="23"/>
  <c r="AI276" i="3"/>
  <c r="AM276" i="19"/>
  <c r="DL276" i="19" s="1"/>
  <c r="X276" i="19"/>
  <c r="W276" i="19"/>
  <c r="U276" i="19"/>
  <c r="S276" i="19"/>
  <c r="AQ276" i="19"/>
  <c r="AB276" i="19"/>
  <c r="AC276" i="19"/>
  <c r="Y276" i="19"/>
  <c r="AA276" i="19"/>
  <c r="AD276" i="19"/>
  <c r="Z276" i="19"/>
  <c r="AM277" i="23"/>
  <c r="DL277" i="23" s="1"/>
  <c r="U277" i="23"/>
  <c r="AQ277" i="23"/>
  <c r="W277" i="23"/>
  <c r="S277" i="23"/>
  <c r="X277" i="23"/>
  <c r="AA277" i="23"/>
  <c r="AC277" i="23"/>
  <c r="AB277" i="23"/>
  <c r="Y277" i="23"/>
  <c r="Z277" i="23"/>
  <c r="AD277" i="23"/>
  <c r="R278" i="3"/>
  <c r="AH278" i="3"/>
  <c r="AJ278" i="3" s="1"/>
  <c r="A279" i="3"/>
  <c r="AW278" i="3"/>
  <c r="P278" i="3"/>
  <c r="BC278" i="3" s="1"/>
  <c r="AL271" i="3" l="1"/>
  <c r="AN271" i="3" s="1"/>
  <c r="AK272" i="3"/>
  <c r="AO270" i="3"/>
  <c r="AP270" i="3"/>
  <c r="AR270" i="3" s="1"/>
  <c r="AI277" i="25"/>
  <c r="AI277" i="3"/>
  <c r="AI277" i="26"/>
  <c r="AI277" i="27"/>
  <c r="AI277" i="20"/>
  <c r="AI277" i="24"/>
  <c r="AI276" i="19"/>
  <c r="R278" i="19"/>
  <c r="AH278" i="19"/>
  <c r="AJ278" i="19" s="1"/>
  <c r="A279" i="19"/>
  <c r="P278" i="19"/>
  <c r="BC278" i="19" s="1"/>
  <c r="AW278" i="19"/>
  <c r="AM278" i="26"/>
  <c r="DL278" i="26" s="1"/>
  <c r="W278" i="26"/>
  <c r="U278" i="26"/>
  <c r="X278" i="26"/>
  <c r="S278" i="26"/>
  <c r="AQ278" i="26"/>
  <c r="AA278" i="26"/>
  <c r="Y278" i="26"/>
  <c r="AB278" i="26"/>
  <c r="AC278" i="26"/>
  <c r="AD278" i="26"/>
  <c r="Z278" i="26"/>
  <c r="AH279" i="25"/>
  <c r="AJ279" i="25" s="1"/>
  <c r="A280" i="25"/>
  <c r="R279" i="25"/>
  <c r="P279" i="25"/>
  <c r="BC279" i="25" s="1"/>
  <c r="AW279" i="25"/>
  <c r="AM278" i="21"/>
  <c r="DL278" i="21" s="1"/>
  <c r="W278" i="21"/>
  <c r="U278" i="21"/>
  <c r="X278" i="21"/>
  <c r="AQ278" i="21"/>
  <c r="S278" i="21"/>
  <c r="AA278" i="21"/>
  <c r="Y278" i="21"/>
  <c r="AB278" i="21"/>
  <c r="AC278" i="21"/>
  <c r="Z278" i="21"/>
  <c r="AD278" i="21"/>
  <c r="R279" i="23"/>
  <c r="AH279" i="23"/>
  <c r="AJ279" i="23" s="1"/>
  <c r="A280" i="23"/>
  <c r="P279" i="23"/>
  <c r="BC279" i="23" s="1"/>
  <c r="AW279" i="23"/>
  <c r="AM277" i="19"/>
  <c r="DL277" i="19" s="1"/>
  <c r="S277" i="19"/>
  <c r="W277" i="19"/>
  <c r="X277" i="19"/>
  <c r="U277" i="19"/>
  <c r="AQ277" i="19"/>
  <c r="AA277" i="19"/>
  <c r="Y277" i="19"/>
  <c r="AC277" i="19"/>
  <c r="AB277" i="19"/>
  <c r="Z277" i="19"/>
  <c r="AD277" i="19"/>
  <c r="R279" i="26"/>
  <c r="AH279" i="26"/>
  <c r="AJ279" i="26" s="1"/>
  <c r="A280" i="26"/>
  <c r="AW279" i="26"/>
  <c r="P279" i="26"/>
  <c r="BC279" i="26" s="1"/>
  <c r="R279" i="3"/>
  <c r="AH279" i="3"/>
  <c r="AJ279" i="3" s="1"/>
  <c r="A280" i="3"/>
  <c r="P279" i="3"/>
  <c r="BC279" i="3" s="1"/>
  <c r="AW279" i="3"/>
  <c r="AM278" i="29"/>
  <c r="DL278" i="29" s="1"/>
  <c r="U278" i="29"/>
  <c r="AQ278" i="29"/>
  <c r="X278" i="29"/>
  <c r="W278" i="29"/>
  <c r="S278" i="29"/>
  <c r="AA278" i="29"/>
  <c r="Y278" i="29"/>
  <c r="AC278" i="29"/>
  <c r="AB278" i="29"/>
  <c r="Z278" i="29"/>
  <c r="AD278" i="29"/>
  <c r="AM278" i="27"/>
  <c r="DL278" i="27" s="1"/>
  <c r="W278" i="27"/>
  <c r="X278" i="27"/>
  <c r="S278" i="27"/>
  <c r="U278" i="27"/>
  <c r="AQ278" i="27"/>
  <c r="AA278" i="27"/>
  <c r="AC278" i="27"/>
  <c r="Y278" i="27"/>
  <c r="AB278" i="27"/>
  <c r="AD278" i="27"/>
  <c r="Z278" i="27"/>
  <c r="AM278" i="25"/>
  <c r="DL278" i="25" s="1"/>
  <c r="U278" i="25"/>
  <c r="W278" i="25"/>
  <c r="S278" i="25"/>
  <c r="X278" i="25"/>
  <c r="AQ278" i="25"/>
  <c r="AB278" i="25"/>
  <c r="AC278" i="25"/>
  <c r="Y278" i="25"/>
  <c r="AA278" i="25"/>
  <c r="AD278" i="25"/>
  <c r="Z278" i="25"/>
  <c r="R279" i="21"/>
  <c r="AH279" i="21"/>
  <c r="AJ279" i="21" s="1"/>
  <c r="A280" i="21"/>
  <c r="P279" i="21"/>
  <c r="BC279" i="21" s="1"/>
  <c r="AW279" i="21"/>
  <c r="AI277" i="28"/>
  <c r="AM278" i="22"/>
  <c r="DL278" i="22" s="1"/>
  <c r="AQ278" i="22"/>
  <c r="U278" i="22"/>
  <c r="X278" i="22"/>
  <c r="W278" i="22"/>
  <c r="S278" i="22"/>
  <c r="Y278" i="22"/>
  <c r="AC278" i="22"/>
  <c r="AA278" i="22"/>
  <c r="AB278" i="22"/>
  <c r="AD278" i="22"/>
  <c r="Z278" i="22"/>
  <c r="AI277" i="21"/>
  <c r="AM278" i="3"/>
  <c r="DL278" i="3" s="1"/>
  <c r="U278" i="3"/>
  <c r="W278" i="3"/>
  <c r="X278" i="3"/>
  <c r="AQ278" i="3"/>
  <c r="S278" i="3"/>
  <c r="AB278" i="3"/>
  <c r="Y278" i="3"/>
  <c r="AA278" i="3"/>
  <c r="AC278" i="3"/>
  <c r="Z278" i="3"/>
  <c r="AD278" i="3"/>
  <c r="AI277" i="29"/>
  <c r="R279" i="29"/>
  <c r="AH279" i="29"/>
  <c r="AJ279" i="29" s="1"/>
  <c r="A280" i="29"/>
  <c r="P279" i="29"/>
  <c r="BC279" i="29" s="1"/>
  <c r="AW279" i="29"/>
  <c r="A280" i="27"/>
  <c r="R279" i="27"/>
  <c r="AH279" i="27"/>
  <c r="AJ279" i="27" s="1"/>
  <c r="P279" i="27"/>
  <c r="BC279" i="27" s="1"/>
  <c r="AW279" i="27"/>
  <c r="AM278" i="28"/>
  <c r="DL278" i="28" s="1"/>
  <c r="X278" i="28"/>
  <c r="S278" i="28"/>
  <c r="U278" i="28"/>
  <c r="W278" i="28"/>
  <c r="AQ278" i="28"/>
  <c r="Y278" i="28"/>
  <c r="AA278" i="28"/>
  <c r="AC278" i="28"/>
  <c r="AB278" i="28"/>
  <c r="Z278" i="28"/>
  <c r="AD278" i="28"/>
  <c r="AM278" i="23"/>
  <c r="DL278" i="23" s="1"/>
  <c r="W278" i="23"/>
  <c r="AQ278" i="23"/>
  <c r="S278" i="23"/>
  <c r="X278" i="23"/>
  <c r="U278" i="23"/>
  <c r="Y278" i="23"/>
  <c r="AB278" i="23"/>
  <c r="AC278" i="23"/>
  <c r="AA278" i="23"/>
  <c r="Z278" i="23"/>
  <c r="AD278" i="23"/>
  <c r="R279" i="22"/>
  <c r="AH279" i="22"/>
  <c r="AJ279" i="22" s="1"/>
  <c r="A280" i="22"/>
  <c r="P279" i="22"/>
  <c r="BC279" i="22" s="1"/>
  <c r="AW279" i="22"/>
  <c r="R279" i="28"/>
  <c r="AH279" i="28"/>
  <c r="AJ279" i="28" s="1"/>
  <c r="A280" i="28"/>
  <c r="P279" i="28"/>
  <c r="BC279" i="28" s="1"/>
  <c r="AW279" i="28"/>
  <c r="AM278" i="24"/>
  <c r="DL278" i="24" s="1"/>
  <c r="W278" i="24"/>
  <c r="X278" i="24"/>
  <c r="AQ278" i="24"/>
  <c r="S278" i="24"/>
  <c r="U278" i="24"/>
  <c r="Y278" i="24"/>
  <c r="AA278" i="24"/>
  <c r="AB278" i="24"/>
  <c r="AC278" i="24"/>
  <c r="Z278" i="24"/>
  <c r="AD278" i="24"/>
  <c r="AM278" i="20"/>
  <c r="DL278" i="20" s="1"/>
  <c r="S278" i="20"/>
  <c r="U278" i="20"/>
  <c r="X278" i="20"/>
  <c r="W278" i="20"/>
  <c r="AQ278" i="20"/>
  <c r="AA278" i="20"/>
  <c r="AC278" i="20"/>
  <c r="AB278" i="20"/>
  <c r="Y278" i="20"/>
  <c r="AD278" i="20"/>
  <c r="Z278" i="20"/>
  <c r="AI277" i="23"/>
  <c r="R279" i="24"/>
  <c r="AH279" i="24"/>
  <c r="AJ279" i="24" s="1"/>
  <c r="A280" i="24"/>
  <c r="P279" i="24"/>
  <c r="BC279" i="24" s="1"/>
  <c r="AW279" i="24"/>
  <c r="A280" i="20"/>
  <c r="R279" i="20"/>
  <c r="AH279" i="20"/>
  <c r="AJ279" i="20" s="1"/>
  <c r="P279" i="20"/>
  <c r="BC279" i="20" s="1"/>
  <c r="AW279" i="20"/>
  <c r="AI277" i="22"/>
  <c r="AL272" i="3" l="1"/>
  <c r="AN272" i="3" s="1"/>
  <c r="AK273" i="3"/>
  <c r="AP271" i="3"/>
  <c r="AR271" i="3" s="1"/>
  <c r="AO271" i="3"/>
  <c r="AI278" i="26"/>
  <c r="AI278" i="20"/>
  <c r="AI278" i="27"/>
  <c r="AI278" i="23"/>
  <c r="AI278" i="25"/>
  <c r="AI278" i="24"/>
  <c r="AI278" i="21"/>
  <c r="AI278" i="22"/>
  <c r="AM279" i="20"/>
  <c r="DL279" i="20" s="1"/>
  <c r="X279" i="20"/>
  <c r="U279" i="20"/>
  <c r="W279" i="20"/>
  <c r="AQ279" i="20"/>
  <c r="S279" i="20"/>
  <c r="AB279" i="20"/>
  <c r="AC279" i="20"/>
  <c r="AA279" i="20"/>
  <c r="Y279" i="20"/>
  <c r="Z279" i="20"/>
  <c r="AD279" i="20"/>
  <c r="AM279" i="29"/>
  <c r="DL279" i="29" s="1"/>
  <c r="U279" i="29"/>
  <c r="W279" i="29"/>
  <c r="S279" i="29"/>
  <c r="X279" i="29"/>
  <c r="AQ279" i="29"/>
  <c r="Y279" i="29"/>
  <c r="AA279" i="29"/>
  <c r="AC279" i="29"/>
  <c r="AB279" i="29"/>
  <c r="Z279" i="29"/>
  <c r="AD279" i="29"/>
  <c r="R280" i="20"/>
  <c r="AH280" i="20"/>
  <c r="AJ280" i="20" s="1"/>
  <c r="A281" i="20"/>
  <c r="P280" i="20"/>
  <c r="BC280" i="20" s="1"/>
  <c r="AW280" i="20"/>
  <c r="AM279" i="27"/>
  <c r="DL279" i="27" s="1"/>
  <c r="W279" i="27"/>
  <c r="AQ279" i="27"/>
  <c r="U279" i="27"/>
  <c r="X279" i="27"/>
  <c r="S279" i="27"/>
  <c r="Y279" i="27"/>
  <c r="AB279" i="27"/>
  <c r="AC279" i="27"/>
  <c r="AA279" i="27"/>
  <c r="Z279" i="27"/>
  <c r="AD279" i="27"/>
  <c r="AM279" i="21"/>
  <c r="DL279" i="21" s="1"/>
  <c r="AQ279" i="21"/>
  <c r="W279" i="21"/>
  <c r="X279" i="21"/>
  <c r="U279" i="21"/>
  <c r="S279" i="21"/>
  <c r="AC279" i="21"/>
  <c r="Y279" i="21"/>
  <c r="AB279" i="21"/>
  <c r="AA279" i="21"/>
  <c r="Z279" i="21"/>
  <c r="AD279" i="21"/>
  <c r="A281" i="3"/>
  <c r="R280" i="3"/>
  <c r="AH280" i="3"/>
  <c r="AJ280" i="3" s="1"/>
  <c r="P280" i="3"/>
  <c r="BC280" i="3" s="1"/>
  <c r="AW280" i="3"/>
  <c r="AM279" i="26"/>
  <c r="DL279" i="26" s="1"/>
  <c r="X279" i="26"/>
  <c r="U279" i="26"/>
  <c r="W279" i="26"/>
  <c r="S279" i="26"/>
  <c r="AQ279" i="26"/>
  <c r="AA279" i="26"/>
  <c r="AC279" i="26"/>
  <c r="Y279" i="26"/>
  <c r="AB279" i="26"/>
  <c r="AD279" i="26"/>
  <c r="Z279" i="26"/>
  <c r="A281" i="23"/>
  <c r="R280" i="23"/>
  <c r="AH280" i="23"/>
  <c r="AJ280" i="23" s="1"/>
  <c r="P280" i="23"/>
  <c r="BC280" i="23" s="1"/>
  <c r="AW280" i="23"/>
  <c r="R280" i="22"/>
  <c r="AH280" i="22"/>
  <c r="AJ280" i="22" s="1"/>
  <c r="A281" i="22"/>
  <c r="P280" i="22"/>
  <c r="BC280" i="22" s="1"/>
  <c r="AW280" i="22"/>
  <c r="R280" i="27"/>
  <c r="AH280" i="27"/>
  <c r="AJ280" i="27" s="1"/>
  <c r="A281" i="27"/>
  <c r="AW280" i="27"/>
  <c r="P280" i="27"/>
  <c r="BC280" i="27" s="1"/>
  <c r="AI278" i="3"/>
  <c r="AI278" i="29"/>
  <c r="AM279" i="3"/>
  <c r="DL279" i="3" s="1"/>
  <c r="U279" i="3"/>
  <c r="W279" i="3"/>
  <c r="X279" i="3"/>
  <c r="AQ279" i="3"/>
  <c r="S279" i="3"/>
  <c r="AA279" i="3"/>
  <c r="Y279" i="3"/>
  <c r="AC279" i="3"/>
  <c r="AB279" i="3"/>
  <c r="Z279" i="3"/>
  <c r="AD279" i="3"/>
  <c r="AI277" i="19"/>
  <c r="AM279" i="23"/>
  <c r="DL279" i="23" s="1"/>
  <c r="U279" i="23"/>
  <c r="S279" i="23"/>
  <c r="X279" i="23"/>
  <c r="W279" i="23"/>
  <c r="AQ279" i="23"/>
  <c r="AA279" i="23"/>
  <c r="AC279" i="23"/>
  <c r="AB279" i="23"/>
  <c r="Y279" i="23"/>
  <c r="AD279" i="23"/>
  <c r="Z279" i="23"/>
  <c r="AM279" i="25"/>
  <c r="DL279" i="25" s="1"/>
  <c r="U279" i="25"/>
  <c r="X279" i="25"/>
  <c r="AQ279" i="25"/>
  <c r="S279" i="25"/>
  <c r="W279" i="25"/>
  <c r="AC279" i="25"/>
  <c r="AA279" i="25"/>
  <c r="Y279" i="25"/>
  <c r="AB279" i="25"/>
  <c r="AD279" i="25"/>
  <c r="Z279" i="25"/>
  <c r="AI278" i="28"/>
  <c r="A281" i="28"/>
  <c r="R280" i="28"/>
  <c r="AH280" i="28"/>
  <c r="AJ280" i="28" s="1"/>
  <c r="P280" i="28"/>
  <c r="BC280" i="28" s="1"/>
  <c r="AW280" i="28"/>
  <c r="AM279" i="22"/>
  <c r="DL279" i="22" s="1"/>
  <c r="S279" i="22"/>
  <c r="X279" i="22"/>
  <c r="AQ279" i="22"/>
  <c r="W279" i="22"/>
  <c r="U279" i="22"/>
  <c r="Y279" i="22"/>
  <c r="AB279" i="22"/>
  <c r="AA279" i="22"/>
  <c r="AC279" i="22"/>
  <c r="AD279" i="22"/>
  <c r="Z279" i="22"/>
  <c r="A281" i="25"/>
  <c r="R280" i="25"/>
  <c r="AH280" i="25"/>
  <c r="AJ280" i="25" s="1"/>
  <c r="P280" i="25"/>
  <c r="BC280" i="25" s="1"/>
  <c r="AW280" i="25"/>
  <c r="AH280" i="24"/>
  <c r="AJ280" i="24" s="1"/>
  <c r="A281" i="24"/>
  <c r="R280" i="24"/>
  <c r="P280" i="24"/>
  <c r="BC280" i="24" s="1"/>
  <c r="AW280" i="24"/>
  <c r="A280" i="19"/>
  <c r="R279" i="19"/>
  <c r="AH279" i="19"/>
  <c r="AJ279" i="19" s="1"/>
  <c r="P279" i="19"/>
  <c r="BC279" i="19" s="1"/>
  <c r="AW279" i="19"/>
  <c r="R280" i="29"/>
  <c r="AH280" i="29"/>
  <c r="AJ280" i="29" s="1"/>
  <c r="A281" i="29"/>
  <c r="P280" i="29"/>
  <c r="BC280" i="29" s="1"/>
  <c r="AW280" i="29"/>
  <c r="AM279" i="28"/>
  <c r="DL279" i="28" s="1"/>
  <c r="S279" i="28"/>
  <c r="W279" i="28"/>
  <c r="U279" i="28"/>
  <c r="X279" i="28"/>
  <c r="AQ279" i="28"/>
  <c r="AA279" i="28"/>
  <c r="AC279" i="28"/>
  <c r="AB279" i="28"/>
  <c r="Y279" i="28"/>
  <c r="Z279" i="28"/>
  <c r="AD279" i="28"/>
  <c r="AM279" i="24"/>
  <c r="DL279" i="24" s="1"/>
  <c r="S279" i="24"/>
  <c r="AQ279" i="24"/>
  <c r="U279" i="24"/>
  <c r="X279" i="24"/>
  <c r="W279" i="24"/>
  <c r="Y279" i="24"/>
  <c r="AA279" i="24"/>
  <c r="AC279" i="24"/>
  <c r="AB279" i="24"/>
  <c r="Z279" i="24"/>
  <c r="AD279" i="24"/>
  <c r="A281" i="21"/>
  <c r="R280" i="21"/>
  <c r="AH280" i="21"/>
  <c r="AJ280" i="21" s="1"/>
  <c r="P280" i="21"/>
  <c r="BC280" i="21" s="1"/>
  <c r="AW280" i="21"/>
  <c r="AH280" i="26"/>
  <c r="AJ280" i="26" s="1"/>
  <c r="A281" i="26"/>
  <c r="R280" i="26"/>
  <c r="P280" i="26"/>
  <c r="BC280" i="26" s="1"/>
  <c r="AW280" i="26"/>
  <c r="AM278" i="19"/>
  <c r="DL278" i="19" s="1"/>
  <c r="U278" i="19"/>
  <c r="W278" i="19"/>
  <c r="X278" i="19"/>
  <c r="AQ278" i="19"/>
  <c r="S278" i="19"/>
  <c r="AB278" i="19"/>
  <c r="AC278" i="19"/>
  <c r="Y278" i="19"/>
  <c r="AA278" i="19"/>
  <c r="Z278" i="19"/>
  <c r="AD278" i="19"/>
  <c r="AL273" i="3" l="1"/>
  <c r="AN273" i="3" s="1"/>
  <c r="AK274" i="3"/>
  <c r="AO272" i="3"/>
  <c r="AP272" i="3"/>
  <c r="AR272" i="3" s="1"/>
  <c r="AI279" i="29"/>
  <c r="AI279" i="28"/>
  <c r="AI279" i="24"/>
  <c r="AI278" i="19"/>
  <c r="AI279" i="3"/>
  <c r="AI279" i="20"/>
  <c r="AI279" i="21"/>
  <c r="AI279" i="26"/>
  <c r="AM280" i="3"/>
  <c r="DL280" i="3" s="1"/>
  <c r="W280" i="3"/>
  <c r="X280" i="3"/>
  <c r="U280" i="3"/>
  <c r="S280" i="3"/>
  <c r="AQ280" i="3"/>
  <c r="Y280" i="3"/>
  <c r="AC280" i="3"/>
  <c r="AB280" i="3"/>
  <c r="AA280" i="3"/>
  <c r="AD280" i="3"/>
  <c r="Z280" i="3"/>
  <c r="AM280" i="29"/>
  <c r="DL280" i="29" s="1"/>
  <c r="U280" i="29"/>
  <c r="AQ280" i="29"/>
  <c r="W280" i="29"/>
  <c r="X280" i="29"/>
  <c r="S280" i="29"/>
  <c r="Y280" i="29"/>
  <c r="AC280" i="29"/>
  <c r="AB280" i="29"/>
  <c r="AA280" i="29"/>
  <c r="Z280" i="29"/>
  <c r="AD280" i="29"/>
  <c r="AM280" i="22"/>
  <c r="DL280" i="22" s="1"/>
  <c r="X280" i="22"/>
  <c r="AQ280" i="22"/>
  <c r="U280" i="22"/>
  <c r="W280" i="22"/>
  <c r="S280" i="22"/>
  <c r="AC280" i="22"/>
  <c r="AB280" i="22"/>
  <c r="AA280" i="22"/>
  <c r="Y280" i="22"/>
  <c r="AD280" i="22"/>
  <c r="Z280" i="22"/>
  <c r="AM280" i="21"/>
  <c r="DL280" i="21" s="1"/>
  <c r="S280" i="21"/>
  <c r="U280" i="21"/>
  <c r="X280" i="21"/>
  <c r="W280" i="21"/>
  <c r="AQ280" i="21"/>
  <c r="AB280" i="21"/>
  <c r="AC280" i="21"/>
  <c r="Y280" i="21"/>
  <c r="AA280" i="21"/>
  <c r="AD280" i="21"/>
  <c r="Z280" i="21"/>
  <c r="AM280" i="25"/>
  <c r="DL280" i="25" s="1"/>
  <c r="X280" i="25"/>
  <c r="S280" i="25"/>
  <c r="U280" i="25"/>
  <c r="W280" i="25"/>
  <c r="AQ280" i="25"/>
  <c r="AC280" i="25"/>
  <c r="AA280" i="25"/>
  <c r="Y280" i="25"/>
  <c r="AB280" i="25"/>
  <c r="AD280" i="25"/>
  <c r="Z280" i="25"/>
  <c r="R281" i="3"/>
  <c r="AH281" i="3"/>
  <c r="AJ281" i="3" s="1"/>
  <c r="A282" i="3"/>
  <c r="P281" i="3"/>
  <c r="BC281" i="3" s="1"/>
  <c r="AW281" i="3"/>
  <c r="AM280" i="26"/>
  <c r="DL280" i="26" s="1"/>
  <c r="W280" i="26"/>
  <c r="S280" i="26"/>
  <c r="X280" i="26"/>
  <c r="AQ280" i="26"/>
  <c r="U280" i="26"/>
  <c r="Y280" i="26"/>
  <c r="AA280" i="26"/>
  <c r="AC280" i="26"/>
  <c r="AB280" i="26"/>
  <c r="Z280" i="26"/>
  <c r="AD280" i="26"/>
  <c r="R281" i="21"/>
  <c r="AH281" i="21"/>
  <c r="AJ281" i="21" s="1"/>
  <c r="A282" i="21"/>
  <c r="P281" i="21"/>
  <c r="BC281" i="21" s="1"/>
  <c r="AW281" i="21"/>
  <c r="AM280" i="24"/>
  <c r="DL280" i="24" s="1"/>
  <c r="AQ280" i="24"/>
  <c r="S280" i="24"/>
  <c r="U280" i="24"/>
  <c r="W280" i="24"/>
  <c r="X280" i="24"/>
  <c r="AC280" i="24"/>
  <c r="Y280" i="24"/>
  <c r="AB280" i="24"/>
  <c r="AA280" i="24"/>
  <c r="Z280" i="24"/>
  <c r="AD280" i="24"/>
  <c r="R281" i="25"/>
  <c r="AH281" i="25"/>
  <c r="AJ281" i="25" s="1"/>
  <c r="A282" i="25"/>
  <c r="P281" i="25"/>
  <c r="BC281" i="25" s="1"/>
  <c r="AW281" i="25"/>
  <c r="AI279" i="23"/>
  <c r="AM280" i="27"/>
  <c r="DL280" i="27" s="1"/>
  <c r="X280" i="27"/>
  <c r="U280" i="27"/>
  <c r="W280" i="27"/>
  <c r="AQ280" i="27"/>
  <c r="S280" i="27"/>
  <c r="AB280" i="27"/>
  <c r="AC280" i="27"/>
  <c r="AA280" i="27"/>
  <c r="Y280" i="27"/>
  <c r="AD280" i="27"/>
  <c r="Z280" i="27"/>
  <c r="A282" i="27"/>
  <c r="R281" i="27"/>
  <c r="AH281" i="27"/>
  <c r="AJ281" i="27" s="1"/>
  <c r="P281" i="27"/>
  <c r="BC281" i="27" s="1"/>
  <c r="AW281" i="27"/>
  <c r="A282" i="26"/>
  <c r="R281" i="26"/>
  <c r="AH281" i="26"/>
  <c r="AJ281" i="26" s="1"/>
  <c r="P281" i="26"/>
  <c r="BC281" i="26" s="1"/>
  <c r="AW281" i="26"/>
  <c r="A282" i="24"/>
  <c r="R281" i="24"/>
  <c r="AH281" i="24"/>
  <c r="AJ281" i="24" s="1"/>
  <c r="AW281" i="24"/>
  <c r="P281" i="24"/>
  <c r="BC281" i="24" s="1"/>
  <c r="AI279" i="22"/>
  <c r="AM280" i="28"/>
  <c r="DL280" i="28" s="1"/>
  <c r="AQ280" i="28"/>
  <c r="S280" i="28"/>
  <c r="X280" i="28"/>
  <c r="W280" i="28"/>
  <c r="U280" i="28"/>
  <c r="AC280" i="28"/>
  <c r="AA280" i="28"/>
  <c r="Y280" i="28"/>
  <c r="AB280" i="28"/>
  <c r="Z280" i="28"/>
  <c r="AD280" i="28"/>
  <c r="R281" i="28"/>
  <c r="AH281" i="28"/>
  <c r="AJ281" i="28" s="1"/>
  <c r="A282" i="28"/>
  <c r="P281" i="28"/>
  <c r="BC281" i="28" s="1"/>
  <c r="AW281" i="28"/>
  <c r="A282" i="20"/>
  <c r="R281" i="20"/>
  <c r="AH281" i="20"/>
  <c r="AJ281" i="20" s="1"/>
  <c r="P281" i="20"/>
  <c r="BC281" i="20" s="1"/>
  <c r="AW281" i="20"/>
  <c r="AM279" i="19"/>
  <c r="DL279" i="19" s="1"/>
  <c r="U279" i="19"/>
  <c r="AQ279" i="19"/>
  <c r="W279" i="19"/>
  <c r="S279" i="19"/>
  <c r="X279" i="19"/>
  <c r="AC279" i="19"/>
  <c r="AB279" i="19"/>
  <c r="Y279" i="19"/>
  <c r="AA279" i="19"/>
  <c r="Z279" i="19"/>
  <c r="AD279" i="19"/>
  <c r="AM280" i="23"/>
  <c r="DL280" i="23" s="1"/>
  <c r="X280" i="23"/>
  <c r="S280" i="23"/>
  <c r="W280" i="23"/>
  <c r="AQ280" i="23"/>
  <c r="U280" i="23"/>
  <c r="AC280" i="23"/>
  <c r="AB280" i="23"/>
  <c r="AA280" i="23"/>
  <c r="Y280" i="23"/>
  <c r="Z280" i="23"/>
  <c r="AD280" i="23"/>
  <c r="A282" i="29"/>
  <c r="R281" i="29"/>
  <c r="AH281" i="29"/>
  <c r="AJ281" i="29" s="1"/>
  <c r="P281" i="29"/>
  <c r="BC281" i="29" s="1"/>
  <c r="AW281" i="29"/>
  <c r="R280" i="19"/>
  <c r="AH280" i="19"/>
  <c r="AJ280" i="19" s="1"/>
  <c r="A281" i="19"/>
  <c r="P280" i="19"/>
  <c r="BC280" i="19" s="1"/>
  <c r="AW280" i="19"/>
  <c r="AI279" i="25"/>
  <c r="A282" i="22"/>
  <c r="R281" i="22"/>
  <c r="AH281" i="22"/>
  <c r="AJ281" i="22" s="1"/>
  <c r="P281" i="22"/>
  <c r="BC281" i="22" s="1"/>
  <c r="AW281" i="22"/>
  <c r="R281" i="23"/>
  <c r="AH281" i="23"/>
  <c r="AJ281" i="23" s="1"/>
  <c r="A282" i="23"/>
  <c r="P281" i="23"/>
  <c r="BC281" i="23" s="1"/>
  <c r="AW281" i="23"/>
  <c r="AI279" i="27"/>
  <c r="AM280" i="20"/>
  <c r="DL280" i="20" s="1"/>
  <c r="S280" i="20"/>
  <c r="U280" i="20"/>
  <c r="X280" i="20"/>
  <c r="W280" i="20"/>
  <c r="AQ280" i="20"/>
  <c r="AC280" i="20"/>
  <c r="Y280" i="20"/>
  <c r="AB280" i="20"/>
  <c r="AA280" i="20"/>
  <c r="Z280" i="20"/>
  <c r="AD280" i="20"/>
  <c r="AL274" i="3" l="1"/>
  <c r="AN274" i="3" s="1"/>
  <c r="AK275" i="3"/>
  <c r="AP273" i="3"/>
  <c r="AR273" i="3" s="1"/>
  <c r="AO273" i="3"/>
  <c r="A328" i="28"/>
  <c r="A328" i="20"/>
  <c r="A328" i="23"/>
  <c r="A328" i="3"/>
  <c r="A328" i="29"/>
  <c r="A328" i="24"/>
  <c r="A328" i="26"/>
  <c r="A328" i="27"/>
  <c r="A328" i="22"/>
  <c r="A328" i="21"/>
  <c r="A328" i="19"/>
  <c r="A328" i="25"/>
  <c r="A325" i="22"/>
  <c r="A325" i="23"/>
  <c r="A325" i="21"/>
  <c r="A325" i="28"/>
  <c r="A325" i="24"/>
  <c r="A325" i="19"/>
  <c r="A325" i="25"/>
  <c r="A325" i="20"/>
  <c r="A325" i="29"/>
  <c r="A325" i="27"/>
  <c r="A325" i="26"/>
  <c r="A325" i="3"/>
  <c r="A322" i="21"/>
  <c r="A322" i="3"/>
  <c r="A322" i="20"/>
  <c r="A322" i="28"/>
  <c r="A322" i="23"/>
  <c r="A322" i="25"/>
  <c r="A322" i="22"/>
  <c r="A322" i="27"/>
  <c r="A322" i="19"/>
  <c r="A322" i="24"/>
  <c r="A322" i="26"/>
  <c r="A2" i="21"/>
  <c r="A2" i="29"/>
  <c r="A2" i="20"/>
  <c r="A2" i="25"/>
  <c r="A2" i="3"/>
  <c r="A2" i="19"/>
  <c r="A2" i="28"/>
  <c r="A2" i="26"/>
  <c r="A2" i="24"/>
  <c r="A2" i="23"/>
  <c r="A2" i="22"/>
  <c r="A2" i="27"/>
  <c r="AI280" i="29"/>
  <c r="AI280" i="27"/>
  <c r="AI280" i="23"/>
  <c r="AI280" i="24"/>
  <c r="AM281" i="21"/>
  <c r="DL281" i="21" s="1"/>
  <c r="W281" i="21"/>
  <c r="S281" i="21"/>
  <c r="AQ281" i="21"/>
  <c r="X281" i="21"/>
  <c r="U281" i="21"/>
  <c r="AC281" i="21"/>
  <c r="AB281" i="21"/>
  <c r="AA281" i="21"/>
  <c r="Y281" i="21"/>
  <c r="Z281" i="21"/>
  <c r="AD281" i="21"/>
  <c r="AH281" i="19"/>
  <c r="AJ281" i="19" s="1"/>
  <c r="A282" i="19"/>
  <c r="R281" i="19"/>
  <c r="AW281" i="19"/>
  <c r="P281" i="19"/>
  <c r="BC281" i="19" s="1"/>
  <c r="AM281" i="22"/>
  <c r="DL281" i="22" s="1"/>
  <c r="X281" i="22"/>
  <c r="W281" i="22"/>
  <c r="S281" i="22"/>
  <c r="U281" i="22"/>
  <c r="AQ281" i="22"/>
  <c r="AA281" i="22"/>
  <c r="Y281" i="22"/>
  <c r="AC281" i="22"/>
  <c r="AB281" i="22"/>
  <c r="Z281" i="22"/>
  <c r="AD281" i="22"/>
  <c r="AM280" i="19"/>
  <c r="DL280" i="19" s="1"/>
  <c r="X280" i="19"/>
  <c r="S280" i="19"/>
  <c r="AQ280" i="19"/>
  <c r="U280" i="19"/>
  <c r="W280" i="19"/>
  <c r="AB280" i="19"/>
  <c r="Y280" i="19"/>
  <c r="AA280" i="19"/>
  <c r="AC280" i="19"/>
  <c r="Z280" i="19"/>
  <c r="AD280" i="19"/>
  <c r="R282" i="28"/>
  <c r="AH282" i="28"/>
  <c r="AJ282" i="28" s="1"/>
  <c r="A283" i="28"/>
  <c r="AW282" i="28"/>
  <c r="P282" i="28"/>
  <c r="BC282" i="28" s="1"/>
  <c r="AM281" i="27"/>
  <c r="DL281" i="27" s="1"/>
  <c r="X281" i="27"/>
  <c r="W281" i="27"/>
  <c r="U281" i="27"/>
  <c r="AQ281" i="27"/>
  <c r="S281" i="27"/>
  <c r="AA281" i="27"/>
  <c r="AB281" i="27"/>
  <c r="Y281" i="27"/>
  <c r="AC281" i="27"/>
  <c r="AD281" i="27"/>
  <c r="Z281" i="27"/>
  <c r="AI280" i="26"/>
  <c r="AM281" i="3"/>
  <c r="DL281" i="3" s="1"/>
  <c r="U281" i="3"/>
  <c r="W281" i="3"/>
  <c r="X281" i="3"/>
  <c r="S281" i="3"/>
  <c r="AQ281" i="3"/>
  <c r="AC281" i="3"/>
  <c r="AA281" i="3"/>
  <c r="Y281" i="3"/>
  <c r="AB281" i="3"/>
  <c r="AD281" i="3"/>
  <c r="Z281" i="3"/>
  <c r="R282" i="29"/>
  <c r="AH282" i="29"/>
  <c r="AJ282" i="29" s="1"/>
  <c r="A283" i="29"/>
  <c r="AW282" i="29"/>
  <c r="P282" i="29"/>
  <c r="BC282" i="29" s="1"/>
  <c r="AH282" i="23"/>
  <c r="AJ282" i="23" s="1"/>
  <c r="A283" i="23"/>
  <c r="R282" i="23"/>
  <c r="P282" i="23"/>
  <c r="BC282" i="23" s="1"/>
  <c r="AW282" i="23"/>
  <c r="R282" i="22"/>
  <c r="AH282" i="22"/>
  <c r="AJ282" i="22" s="1"/>
  <c r="A283" i="22"/>
  <c r="P282" i="22"/>
  <c r="BC282" i="22" s="1"/>
  <c r="AW282" i="22"/>
  <c r="R282" i="27"/>
  <c r="AH282" i="27"/>
  <c r="AJ282" i="27" s="1"/>
  <c r="A283" i="27"/>
  <c r="P282" i="27"/>
  <c r="BC282" i="27" s="1"/>
  <c r="AW282" i="27"/>
  <c r="AI280" i="25"/>
  <c r="AI280" i="22"/>
  <c r="AI280" i="3"/>
  <c r="AH282" i="3"/>
  <c r="AJ282" i="3" s="1"/>
  <c r="A283" i="3"/>
  <c r="R282" i="3"/>
  <c r="AW282" i="3"/>
  <c r="P282" i="3"/>
  <c r="BC282" i="3" s="1"/>
  <c r="AI280" i="20"/>
  <c r="AM281" i="28"/>
  <c r="DL281" i="28" s="1"/>
  <c r="X281" i="28"/>
  <c r="AQ281" i="28"/>
  <c r="W281" i="28"/>
  <c r="U281" i="28"/>
  <c r="S281" i="28"/>
  <c r="AA281" i="28"/>
  <c r="AB281" i="28"/>
  <c r="AC281" i="28"/>
  <c r="Y281" i="28"/>
  <c r="AD281" i="28"/>
  <c r="Z281" i="28"/>
  <c r="W281" i="26"/>
  <c r="AM281" i="26"/>
  <c r="DL281" i="26" s="1"/>
  <c r="S281" i="26"/>
  <c r="U281" i="26"/>
  <c r="X281" i="26"/>
  <c r="AQ281" i="26"/>
  <c r="Y281" i="26"/>
  <c r="AB281" i="26"/>
  <c r="AA281" i="26"/>
  <c r="AC281" i="26"/>
  <c r="AD281" i="26"/>
  <c r="Z281" i="26"/>
  <c r="A283" i="25"/>
  <c r="R282" i="25"/>
  <c r="AH282" i="25"/>
  <c r="AJ282" i="25" s="1"/>
  <c r="AW282" i="25"/>
  <c r="P282" i="25"/>
  <c r="BC282" i="25" s="1"/>
  <c r="AM281" i="23"/>
  <c r="DL281" i="23" s="1"/>
  <c r="U281" i="23"/>
  <c r="S281" i="23"/>
  <c r="W281" i="23"/>
  <c r="AQ281" i="23"/>
  <c r="X281" i="23"/>
  <c r="Y281" i="23"/>
  <c r="AB281" i="23"/>
  <c r="AC281" i="23"/>
  <c r="AA281" i="23"/>
  <c r="AD281" i="23"/>
  <c r="Z281" i="23"/>
  <c r="AI279" i="19"/>
  <c r="R282" i="20"/>
  <c r="AH282" i="20"/>
  <c r="AJ282" i="20" s="1"/>
  <c r="A283" i="20"/>
  <c r="AW282" i="20"/>
  <c r="P282" i="20"/>
  <c r="BC282" i="20" s="1"/>
  <c r="AI280" i="28"/>
  <c r="AM281" i="24"/>
  <c r="DL281" i="24" s="1"/>
  <c r="S281" i="24"/>
  <c r="W281" i="24"/>
  <c r="X281" i="24"/>
  <c r="AQ281" i="24"/>
  <c r="U281" i="24"/>
  <c r="AA281" i="24"/>
  <c r="Y281" i="24"/>
  <c r="AB281" i="24"/>
  <c r="AC281" i="24"/>
  <c r="AD281" i="24"/>
  <c r="Z281" i="24"/>
  <c r="AM281" i="25"/>
  <c r="DL281" i="25" s="1"/>
  <c r="X281" i="25"/>
  <c r="U281" i="25"/>
  <c r="W281" i="25"/>
  <c r="AQ281" i="25"/>
  <c r="S281" i="25"/>
  <c r="AB281" i="25"/>
  <c r="AC281" i="25"/>
  <c r="Y281" i="25"/>
  <c r="AA281" i="25"/>
  <c r="Z281" i="25"/>
  <c r="AD281" i="25"/>
  <c r="R282" i="21"/>
  <c r="AH282" i="21"/>
  <c r="AJ282" i="21" s="1"/>
  <c r="A283" i="21"/>
  <c r="P282" i="21"/>
  <c r="BC282" i="21" s="1"/>
  <c r="AW282" i="21"/>
  <c r="AM281" i="20"/>
  <c r="DL281" i="20" s="1"/>
  <c r="X281" i="20"/>
  <c r="U281" i="20"/>
  <c r="AQ281" i="20"/>
  <c r="W281" i="20"/>
  <c r="S281" i="20"/>
  <c r="AB281" i="20"/>
  <c r="AC281" i="20"/>
  <c r="Y281" i="20"/>
  <c r="AA281" i="20"/>
  <c r="Z281" i="20"/>
  <c r="AD281" i="20"/>
  <c r="R282" i="26"/>
  <c r="AH282" i="26"/>
  <c r="AJ282" i="26" s="1"/>
  <c r="A283" i="26"/>
  <c r="AW282" i="26"/>
  <c r="P282" i="26"/>
  <c r="BC282" i="26" s="1"/>
  <c r="AM281" i="29"/>
  <c r="DL281" i="29" s="1"/>
  <c r="W281" i="29"/>
  <c r="S281" i="29"/>
  <c r="U281" i="29"/>
  <c r="X281" i="29"/>
  <c r="AQ281" i="29"/>
  <c r="Y281" i="29"/>
  <c r="AC281" i="29"/>
  <c r="AA281" i="29"/>
  <c r="AB281" i="29"/>
  <c r="AD281" i="29"/>
  <c r="Z281" i="29"/>
  <c r="R282" i="24"/>
  <c r="AH282" i="24"/>
  <c r="AJ282" i="24" s="1"/>
  <c r="A283" i="24"/>
  <c r="P282" i="24"/>
  <c r="BC282" i="24" s="1"/>
  <c r="AW282" i="24"/>
  <c r="AI280" i="21"/>
  <c r="AK276" i="3" l="1"/>
  <c r="AL275" i="3"/>
  <c r="AN275" i="3" s="1"/>
  <c r="AO274" i="3"/>
  <c r="AP274" i="3"/>
  <c r="AR274" i="3" s="1"/>
  <c r="O225" i="28"/>
  <c r="O219" i="24"/>
  <c r="E219" i="24" s="1"/>
  <c r="O225" i="22"/>
  <c r="A225" i="22" s="1"/>
  <c r="O224" i="25"/>
  <c r="E224" i="25" s="1"/>
  <c r="O219" i="20"/>
  <c r="O226" i="20"/>
  <c r="O221" i="27"/>
  <c r="E221" i="27" s="1"/>
  <c r="O220" i="27"/>
  <c r="O220" i="21"/>
  <c r="O219" i="29"/>
  <c r="E219" i="29" s="1"/>
  <c r="O220" i="25"/>
  <c r="G220" i="25" s="1"/>
  <c r="O220" i="28"/>
  <c r="G220" i="28" s="1"/>
  <c r="O225" i="29"/>
  <c r="E225" i="29" s="1"/>
  <c r="O225" i="24"/>
  <c r="A225" i="24" s="1"/>
  <c r="O224" i="22"/>
  <c r="O226" i="27"/>
  <c r="O234" i="27" s="1"/>
  <c r="O226" i="25"/>
  <c r="O224" i="27"/>
  <c r="E224" i="27" s="1"/>
  <c r="O221" i="22"/>
  <c r="G221" i="22" s="1"/>
  <c r="O221" i="28"/>
  <c r="O225" i="20"/>
  <c r="E225" i="20" s="1"/>
  <c r="O225" i="27"/>
  <c r="O226" i="21"/>
  <c r="O234" i="21" s="1"/>
  <c r="O220" i="29"/>
  <c r="O219" i="21"/>
  <c r="E219" i="21" s="1"/>
  <c r="O224" i="28"/>
  <c r="E224" i="28" s="1"/>
  <c r="O224" i="19"/>
  <c r="E224" i="19" s="1"/>
  <c r="O224" i="26"/>
  <c r="E224" i="26" s="1"/>
  <c r="O219" i="27"/>
  <c r="O219" i="19"/>
  <c r="O221" i="20"/>
  <c r="O219" i="22"/>
  <c r="A219" i="22" s="1"/>
  <c r="O226" i="19"/>
  <c r="E226" i="19" s="1"/>
  <c r="O220" i="20"/>
  <c r="E220" i="20" s="1"/>
  <c r="O220" i="24"/>
  <c r="O220" i="26"/>
  <c r="A220" i="26" s="1"/>
  <c r="O226" i="22"/>
  <c r="A226" i="22" s="1"/>
  <c r="O226" i="24"/>
  <c r="O221" i="29"/>
  <c r="O221" i="26"/>
  <c r="O224" i="21"/>
  <c r="A224" i="21" s="1"/>
  <c r="O225" i="19"/>
  <c r="A225" i="19" s="1"/>
  <c r="O224" i="24"/>
  <c r="E224" i="24" s="1"/>
  <c r="O226" i="26"/>
  <c r="E226" i="26" s="1"/>
  <c r="O221" i="24"/>
  <c r="O219" i="28"/>
  <c r="O220" i="22"/>
  <c r="O220" i="19"/>
  <c r="G220" i="19" s="1"/>
  <c r="O221" i="25"/>
  <c r="G221" i="25" s="1"/>
  <c r="O224" i="20"/>
  <c r="A224" i="20" s="1"/>
  <c r="O219" i="25"/>
  <c r="E219" i="25" s="1"/>
  <c r="O226" i="29"/>
  <c r="O234" i="29" s="1"/>
  <c r="O225" i="21"/>
  <c r="E225" i="21" s="1"/>
  <c r="O221" i="21"/>
  <c r="G221" i="21" s="1"/>
  <c r="O226" i="28"/>
  <c r="O234" i="28" s="1"/>
  <c r="O221" i="19"/>
  <c r="G221" i="19" s="1"/>
  <c r="O224" i="29"/>
  <c r="E224" i="29" s="1"/>
  <c r="O219" i="26"/>
  <c r="E219" i="26" s="1"/>
  <c r="O225" i="26"/>
  <c r="E225" i="26" s="1"/>
  <c r="O225" i="25"/>
  <c r="A225" i="25" s="1"/>
  <c r="E226" i="27"/>
  <c r="E224" i="22"/>
  <c r="A224" i="22"/>
  <c r="E224" i="21"/>
  <c r="E226" i="25"/>
  <c r="O234" i="25"/>
  <c r="A226" i="25"/>
  <c r="O234" i="20"/>
  <c r="E226" i="20"/>
  <c r="A226" i="20"/>
  <c r="O234" i="24"/>
  <c r="E226" i="24"/>
  <c r="A226" i="24"/>
  <c r="A225" i="27"/>
  <c r="E225" i="27"/>
  <c r="A225" i="28"/>
  <c r="E225" i="28"/>
  <c r="E219" i="19"/>
  <c r="A219" i="19"/>
  <c r="A221" i="26"/>
  <c r="E219" i="27"/>
  <c r="A219" i="27"/>
  <c r="A219" i="20"/>
  <c r="E219" i="20"/>
  <c r="A219" i="28"/>
  <c r="E219" i="28"/>
  <c r="AI281" i="24"/>
  <c r="AI281" i="22"/>
  <c r="AI281" i="25"/>
  <c r="AI281" i="26"/>
  <c r="AI281" i="3"/>
  <c r="AI280" i="19"/>
  <c r="AI281" i="21"/>
  <c r="AI281" i="29"/>
  <c r="AH283" i="22"/>
  <c r="AJ283" i="22" s="1"/>
  <c r="A284" i="22"/>
  <c r="R283" i="22"/>
  <c r="AW283" i="22"/>
  <c r="P283" i="22"/>
  <c r="BC283" i="22" s="1"/>
  <c r="AM282" i="26"/>
  <c r="DL282" i="26" s="1"/>
  <c r="W282" i="26"/>
  <c r="X282" i="26"/>
  <c r="AQ282" i="26"/>
  <c r="S282" i="26"/>
  <c r="U282" i="26"/>
  <c r="AC282" i="26"/>
  <c r="AB282" i="26"/>
  <c r="AA282" i="26"/>
  <c r="Y282" i="26"/>
  <c r="AD282" i="26"/>
  <c r="Z282" i="26"/>
  <c r="A284" i="21"/>
  <c r="R283" i="21"/>
  <c r="AH283" i="21"/>
  <c r="AJ283" i="21" s="1"/>
  <c r="P283" i="21"/>
  <c r="BC283" i="21" s="1"/>
  <c r="AW283" i="21"/>
  <c r="AM282" i="20"/>
  <c r="DL282" i="20" s="1"/>
  <c r="U282" i="20"/>
  <c r="S282" i="20"/>
  <c r="W282" i="20"/>
  <c r="AQ282" i="20"/>
  <c r="X282" i="20"/>
  <c r="AA282" i="20"/>
  <c r="AB282" i="20"/>
  <c r="AC282" i="20"/>
  <c r="Y282" i="20"/>
  <c r="AD282" i="20"/>
  <c r="Z282" i="20"/>
  <c r="AI281" i="28"/>
  <c r="AM282" i="3"/>
  <c r="DL282" i="3" s="1"/>
  <c r="U282" i="3"/>
  <c r="W282" i="3"/>
  <c r="X282" i="3"/>
  <c r="S282" i="3"/>
  <c r="AQ282" i="3"/>
  <c r="Y282" i="3"/>
  <c r="AA282" i="3"/>
  <c r="AB282" i="3"/>
  <c r="AC282" i="3"/>
  <c r="Z282" i="3"/>
  <c r="AD282" i="3"/>
  <c r="AM281" i="19"/>
  <c r="DL281" i="19" s="1"/>
  <c r="W281" i="19"/>
  <c r="S281" i="19"/>
  <c r="U281" i="19"/>
  <c r="X281" i="19"/>
  <c r="AQ281" i="19"/>
  <c r="AB281" i="19"/>
  <c r="Y281" i="19"/>
  <c r="AC281" i="19"/>
  <c r="AA281" i="19"/>
  <c r="AD281" i="19"/>
  <c r="Z281" i="19"/>
  <c r="AI281" i="20"/>
  <c r="AM282" i="21"/>
  <c r="DL282" i="21" s="1"/>
  <c r="W282" i="21"/>
  <c r="U282" i="21"/>
  <c r="X282" i="21"/>
  <c r="AQ282" i="21"/>
  <c r="S282" i="21"/>
  <c r="Y282" i="21"/>
  <c r="AC282" i="21"/>
  <c r="AA282" i="21"/>
  <c r="AB282" i="21"/>
  <c r="AD282" i="21"/>
  <c r="Z282" i="21"/>
  <c r="A284" i="3"/>
  <c r="R283" i="3"/>
  <c r="AH283" i="3"/>
  <c r="AJ283" i="3" s="1"/>
  <c r="P283" i="3"/>
  <c r="BC283" i="3" s="1"/>
  <c r="AW283" i="3"/>
  <c r="R283" i="27"/>
  <c r="AH283" i="27"/>
  <c r="AJ283" i="27" s="1"/>
  <c r="A284" i="27"/>
  <c r="AW283" i="27"/>
  <c r="P283" i="27"/>
  <c r="BC283" i="27" s="1"/>
  <c r="AM282" i="22"/>
  <c r="DL282" i="22" s="1"/>
  <c r="U282" i="22"/>
  <c r="X282" i="22"/>
  <c r="AQ282" i="22"/>
  <c r="W282" i="22"/>
  <c r="S282" i="22"/>
  <c r="AC282" i="22"/>
  <c r="Y282" i="22"/>
  <c r="AA282" i="22"/>
  <c r="AB282" i="22"/>
  <c r="AD282" i="22"/>
  <c r="Z282" i="22"/>
  <c r="A283" i="19"/>
  <c r="R282" i="19"/>
  <c r="AH282" i="19"/>
  <c r="AJ282" i="19" s="1"/>
  <c r="P282" i="19"/>
  <c r="BC282" i="19" s="1"/>
  <c r="AW282" i="19"/>
  <c r="AI281" i="23"/>
  <c r="AM282" i="25"/>
  <c r="DL282" i="25" s="1"/>
  <c r="U282" i="25"/>
  <c r="AQ282" i="25"/>
  <c r="S282" i="25"/>
  <c r="W282" i="25"/>
  <c r="X282" i="25"/>
  <c r="AB282" i="25"/>
  <c r="AC282" i="25"/>
  <c r="AA282" i="25"/>
  <c r="Y282" i="25"/>
  <c r="AD282" i="25"/>
  <c r="Z282" i="25"/>
  <c r="A284" i="28"/>
  <c r="R283" i="28"/>
  <c r="AH283" i="28"/>
  <c r="AJ283" i="28" s="1"/>
  <c r="AW283" i="28"/>
  <c r="P283" i="28"/>
  <c r="BC283" i="28" s="1"/>
  <c r="A284" i="24"/>
  <c r="R283" i="24"/>
  <c r="AH283" i="24"/>
  <c r="AJ283" i="24" s="1"/>
  <c r="P283" i="24"/>
  <c r="BC283" i="24" s="1"/>
  <c r="AW283" i="24"/>
  <c r="R283" i="25"/>
  <c r="AH283" i="25"/>
  <c r="AJ283" i="25" s="1"/>
  <c r="A284" i="25"/>
  <c r="P283" i="25"/>
  <c r="BC283" i="25" s="1"/>
  <c r="AW283" i="25"/>
  <c r="AM282" i="27"/>
  <c r="DL282" i="27" s="1"/>
  <c r="AQ282" i="27"/>
  <c r="S282" i="27"/>
  <c r="U282" i="27"/>
  <c r="W282" i="27"/>
  <c r="X282" i="27"/>
  <c r="Y282" i="27"/>
  <c r="AB282" i="27"/>
  <c r="AA282" i="27"/>
  <c r="AC282" i="27"/>
  <c r="Z282" i="27"/>
  <c r="AD282" i="27"/>
  <c r="AH283" i="29"/>
  <c r="AJ283" i="29" s="1"/>
  <c r="A284" i="29"/>
  <c r="R283" i="29"/>
  <c r="AW283" i="29"/>
  <c r="P283" i="29"/>
  <c r="BC283" i="29" s="1"/>
  <c r="AI281" i="27"/>
  <c r="AM282" i="28"/>
  <c r="DL282" i="28" s="1"/>
  <c r="U282" i="28"/>
  <c r="X282" i="28"/>
  <c r="AQ282" i="28"/>
  <c r="S282" i="28"/>
  <c r="W282" i="28"/>
  <c r="AA282" i="28"/>
  <c r="AC282" i="28"/>
  <c r="Y282" i="28"/>
  <c r="AB282" i="28"/>
  <c r="AD282" i="28"/>
  <c r="Z282" i="28"/>
  <c r="AM282" i="24"/>
  <c r="DL282" i="24" s="1"/>
  <c r="AQ282" i="24"/>
  <c r="X282" i="24"/>
  <c r="U282" i="24"/>
  <c r="S282" i="24"/>
  <c r="W282" i="24"/>
  <c r="Y282" i="24"/>
  <c r="AA282" i="24"/>
  <c r="AB282" i="24"/>
  <c r="AC282" i="24"/>
  <c r="AD282" i="24"/>
  <c r="Z282" i="24"/>
  <c r="A284" i="26"/>
  <c r="R283" i="26"/>
  <c r="AH283" i="26"/>
  <c r="AJ283" i="26" s="1"/>
  <c r="AW283" i="26"/>
  <c r="P283" i="26"/>
  <c r="BC283" i="26" s="1"/>
  <c r="AM282" i="23"/>
  <c r="DL282" i="23" s="1"/>
  <c r="W282" i="23"/>
  <c r="U282" i="23"/>
  <c r="X282" i="23"/>
  <c r="S282" i="23"/>
  <c r="AQ282" i="23"/>
  <c r="AB282" i="23"/>
  <c r="Y282" i="23"/>
  <c r="AA282" i="23"/>
  <c r="AC282" i="23"/>
  <c r="Z282" i="23"/>
  <c r="AD282" i="23"/>
  <c r="AM282" i="29"/>
  <c r="DL282" i="29" s="1"/>
  <c r="U282" i="29"/>
  <c r="X282" i="29"/>
  <c r="W282" i="29"/>
  <c r="AQ282" i="29"/>
  <c r="S282" i="29"/>
  <c r="AC282" i="29"/>
  <c r="AA282" i="29"/>
  <c r="AB282" i="29"/>
  <c r="Y282" i="29"/>
  <c r="Z282" i="29"/>
  <c r="AD282" i="29"/>
  <c r="R283" i="20"/>
  <c r="AH283" i="20"/>
  <c r="AJ283" i="20" s="1"/>
  <c r="A284" i="20"/>
  <c r="P283" i="20"/>
  <c r="BC283" i="20" s="1"/>
  <c r="AW283" i="20"/>
  <c r="A284" i="23"/>
  <c r="R283" i="23"/>
  <c r="AH283" i="23"/>
  <c r="AJ283" i="23" s="1"/>
  <c r="AW283" i="23"/>
  <c r="P283" i="23"/>
  <c r="BC283" i="23" s="1"/>
  <c r="A224" i="27" l="1"/>
  <c r="E225" i="25"/>
  <c r="A224" i="25"/>
  <c r="A219" i="24"/>
  <c r="E221" i="22"/>
  <c r="A220" i="25"/>
  <c r="E220" i="25"/>
  <c r="A220" i="28"/>
  <c r="E220" i="21"/>
  <c r="G220" i="21"/>
  <c r="A221" i="20"/>
  <c r="G221" i="20"/>
  <c r="E221" i="28"/>
  <c r="G221" i="28"/>
  <c r="A220" i="27"/>
  <c r="G220" i="27"/>
  <c r="E220" i="26"/>
  <c r="G220" i="26"/>
  <c r="A220" i="29"/>
  <c r="G220" i="29"/>
  <c r="A221" i="27"/>
  <c r="G221" i="27"/>
  <c r="A220" i="22"/>
  <c r="G220" i="22"/>
  <c r="E221" i="26"/>
  <c r="G221" i="26"/>
  <c r="E221" i="24"/>
  <c r="G221" i="24"/>
  <c r="E221" i="29"/>
  <c r="G221" i="29"/>
  <c r="A220" i="24"/>
  <c r="G220" i="24"/>
  <c r="A220" i="20"/>
  <c r="G220" i="20"/>
  <c r="A221" i="29"/>
  <c r="E220" i="24"/>
  <c r="A226" i="21"/>
  <c r="A224" i="26"/>
  <c r="E226" i="21"/>
  <c r="A221" i="24"/>
  <c r="A226" i="27"/>
  <c r="A224" i="28"/>
  <c r="A220" i="21"/>
  <c r="A221" i="25"/>
  <c r="A225" i="21"/>
  <c r="E225" i="19"/>
  <c r="E221" i="19"/>
  <c r="E224" i="20"/>
  <c r="E219" i="22"/>
  <c r="A226" i="26"/>
  <c r="A219" i="26"/>
  <c r="O234" i="26"/>
  <c r="A234" i="26" s="1"/>
  <c r="E225" i="22"/>
  <c r="A225" i="29"/>
  <c r="A221" i="28"/>
  <c r="O234" i="22"/>
  <c r="O236" i="22" s="1"/>
  <c r="E220" i="27"/>
  <c r="E226" i="22"/>
  <c r="E221" i="25"/>
  <c r="A219" i="21"/>
  <c r="E221" i="20"/>
  <c r="A224" i="24"/>
  <c r="A224" i="29"/>
  <c r="A226" i="19"/>
  <c r="O234" i="19"/>
  <c r="A234" i="19" s="1"/>
  <c r="A225" i="20"/>
  <c r="A224" i="19"/>
  <c r="E225" i="24"/>
  <c r="A219" i="29"/>
  <c r="A219" i="25"/>
  <c r="A225" i="26"/>
  <c r="AO275" i="3"/>
  <c r="AP275" i="3"/>
  <c r="AR275" i="3" s="1"/>
  <c r="AL276" i="3"/>
  <c r="AN276" i="3" s="1"/>
  <c r="AK277" i="3"/>
  <c r="A221" i="21"/>
  <c r="E221" i="21"/>
  <c r="E220" i="29"/>
  <c r="A221" i="19"/>
  <c r="E220" i="28"/>
  <c r="E220" i="19"/>
  <c r="A220" i="19"/>
  <c r="A221" i="22"/>
  <c r="E220" i="22"/>
  <c r="E226" i="28"/>
  <c r="A226" i="29"/>
  <c r="E226" i="29"/>
  <c r="A226" i="28"/>
  <c r="E234" i="24"/>
  <c r="A234" i="24"/>
  <c r="O236" i="24"/>
  <c r="E234" i="28"/>
  <c r="A234" i="28"/>
  <c r="O236" i="28"/>
  <c r="A234" i="21"/>
  <c r="E234" i="21"/>
  <c r="O236" i="21"/>
  <c r="E234" i="19"/>
  <c r="E234" i="26"/>
  <c r="E234" i="20"/>
  <c r="O236" i="20"/>
  <c r="A234" i="20"/>
  <c r="A234" i="27"/>
  <c r="O236" i="27"/>
  <c r="E234" i="27"/>
  <c r="E234" i="25"/>
  <c r="O236" i="25"/>
  <c r="A234" i="25"/>
  <c r="E234" i="29"/>
  <c r="O236" i="29"/>
  <c r="A234" i="29"/>
  <c r="AI282" i="29"/>
  <c r="AI282" i="27"/>
  <c r="AI282" i="22"/>
  <c r="AI282" i="23"/>
  <c r="AI282" i="3"/>
  <c r="AI282" i="24"/>
  <c r="AI282" i="21"/>
  <c r="AI282" i="26"/>
  <c r="AI281" i="19"/>
  <c r="AM283" i="23"/>
  <c r="DL283" i="23" s="1"/>
  <c r="AQ283" i="23"/>
  <c r="W283" i="23"/>
  <c r="U283" i="23"/>
  <c r="S283" i="23"/>
  <c r="X283" i="23"/>
  <c r="Y283" i="23"/>
  <c r="AA283" i="23"/>
  <c r="AB283" i="23"/>
  <c r="AC283" i="23"/>
  <c r="Z283" i="23"/>
  <c r="AD283" i="23"/>
  <c r="R284" i="23"/>
  <c r="AH284" i="23"/>
  <c r="AJ284" i="23" s="1"/>
  <c r="A285" i="23"/>
  <c r="P284" i="23"/>
  <c r="BC284" i="23" s="1"/>
  <c r="AW284" i="23"/>
  <c r="AM283" i="28"/>
  <c r="DL283" i="28" s="1"/>
  <c r="W283" i="28"/>
  <c r="X283" i="28"/>
  <c r="AQ283" i="28"/>
  <c r="S283" i="28"/>
  <c r="U283" i="28"/>
  <c r="Y283" i="28"/>
  <c r="AB283" i="28"/>
  <c r="AA283" i="28"/>
  <c r="AC283" i="28"/>
  <c r="Z283" i="28"/>
  <c r="AD283" i="28"/>
  <c r="A285" i="20"/>
  <c r="R284" i="20"/>
  <c r="AH284" i="20"/>
  <c r="AJ284" i="20" s="1"/>
  <c r="P284" i="20"/>
  <c r="BC284" i="20" s="1"/>
  <c r="AW284" i="20"/>
  <c r="AI282" i="28"/>
  <c r="AM283" i="29"/>
  <c r="DL283" i="29" s="1"/>
  <c r="AQ283" i="29"/>
  <c r="W283" i="29"/>
  <c r="U283" i="29"/>
  <c r="S283" i="29"/>
  <c r="X283" i="29"/>
  <c r="Y283" i="29"/>
  <c r="AA283" i="29"/>
  <c r="AB283" i="29"/>
  <c r="AC283" i="29"/>
  <c r="AD283" i="29"/>
  <c r="Z283" i="29"/>
  <c r="R284" i="28"/>
  <c r="AH284" i="28"/>
  <c r="AJ284" i="28" s="1"/>
  <c r="A285" i="28"/>
  <c r="AW284" i="28"/>
  <c r="P284" i="28"/>
  <c r="BC284" i="28" s="1"/>
  <c r="AM283" i="25"/>
  <c r="DL283" i="25" s="1"/>
  <c r="W283" i="25"/>
  <c r="U283" i="25"/>
  <c r="X283" i="25"/>
  <c r="S283" i="25"/>
  <c r="AQ283" i="25"/>
  <c r="AC283" i="25"/>
  <c r="AA283" i="25"/>
  <c r="AB283" i="25"/>
  <c r="Y283" i="25"/>
  <c r="AD283" i="25"/>
  <c r="Z283" i="25"/>
  <c r="A285" i="29"/>
  <c r="R284" i="29"/>
  <c r="AH284" i="29"/>
  <c r="AJ284" i="29" s="1"/>
  <c r="AW284" i="29"/>
  <c r="P284" i="29"/>
  <c r="BC284" i="29" s="1"/>
  <c r="AM283" i="24"/>
  <c r="DL283" i="24" s="1"/>
  <c r="AQ283" i="24"/>
  <c r="U283" i="24"/>
  <c r="W283" i="24"/>
  <c r="X283" i="24"/>
  <c r="S283" i="24"/>
  <c r="AA283" i="24"/>
  <c r="AB283" i="24"/>
  <c r="Y283" i="24"/>
  <c r="AC283" i="24"/>
  <c r="AD283" i="24"/>
  <c r="Z283" i="24"/>
  <c r="AI282" i="25"/>
  <c r="AM283" i="26"/>
  <c r="DL283" i="26" s="1"/>
  <c r="X283" i="26"/>
  <c r="W283" i="26"/>
  <c r="AQ283" i="26"/>
  <c r="S283" i="26"/>
  <c r="U283" i="26"/>
  <c r="Y283" i="26"/>
  <c r="AB283" i="26"/>
  <c r="AC283" i="26"/>
  <c r="AA283" i="26"/>
  <c r="AD283" i="26"/>
  <c r="Z283" i="26"/>
  <c r="R284" i="25"/>
  <c r="AH284" i="25"/>
  <c r="AJ284" i="25" s="1"/>
  <c r="A285" i="25"/>
  <c r="AW284" i="25"/>
  <c r="P284" i="25"/>
  <c r="BC284" i="25" s="1"/>
  <c r="R284" i="24"/>
  <c r="AH284" i="24"/>
  <c r="AJ284" i="24" s="1"/>
  <c r="A285" i="24"/>
  <c r="P284" i="24"/>
  <c r="BC284" i="24" s="1"/>
  <c r="AW284" i="24"/>
  <c r="AM282" i="19"/>
  <c r="DL282" i="19" s="1"/>
  <c r="U282" i="19"/>
  <c r="X282" i="19"/>
  <c r="W282" i="19"/>
  <c r="AQ282" i="19"/>
  <c r="S282" i="19"/>
  <c r="AC282" i="19"/>
  <c r="AA282" i="19"/>
  <c r="Y282" i="19"/>
  <c r="AB282" i="19"/>
  <c r="Z282" i="19"/>
  <c r="AD282" i="19"/>
  <c r="AM283" i="3"/>
  <c r="DL283" i="3" s="1"/>
  <c r="U283" i="3"/>
  <c r="W283" i="3"/>
  <c r="X283" i="3"/>
  <c r="S283" i="3"/>
  <c r="AQ283" i="3"/>
  <c r="AC283" i="3"/>
  <c r="AB283" i="3"/>
  <c r="Y283" i="3"/>
  <c r="AA283" i="3"/>
  <c r="AD283" i="3"/>
  <c r="Z283" i="3"/>
  <c r="AI282" i="20"/>
  <c r="AM283" i="21"/>
  <c r="DL283" i="21" s="1"/>
  <c r="AQ283" i="21"/>
  <c r="W283" i="21"/>
  <c r="U283" i="21"/>
  <c r="S283" i="21"/>
  <c r="X283" i="21"/>
  <c r="AA283" i="21"/>
  <c r="AC283" i="21"/>
  <c r="AB283" i="21"/>
  <c r="Y283" i="21"/>
  <c r="Z283" i="21"/>
  <c r="AD283" i="21"/>
  <c r="R283" i="19"/>
  <c r="AH283" i="19"/>
  <c r="AJ283" i="19" s="1"/>
  <c r="A284" i="19"/>
  <c r="P283" i="19"/>
  <c r="BC283" i="19" s="1"/>
  <c r="AW283" i="19"/>
  <c r="A285" i="27"/>
  <c r="R284" i="27"/>
  <c r="AH284" i="27"/>
  <c r="AJ284" i="27" s="1"/>
  <c r="P284" i="27"/>
  <c r="BC284" i="27" s="1"/>
  <c r="AW284" i="27"/>
  <c r="R284" i="3"/>
  <c r="AH284" i="3"/>
  <c r="AJ284" i="3" s="1"/>
  <c r="A285" i="3"/>
  <c r="P284" i="3"/>
  <c r="BC284" i="3" s="1"/>
  <c r="AW284" i="3"/>
  <c r="R284" i="21"/>
  <c r="AH284" i="21"/>
  <c r="AJ284" i="21" s="1"/>
  <c r="A285" i="21"/>
  <c r="P284" i="21"/>
  <c r="BC284" i="21" s="1"/>
  <c r="AW284" i="21"/>
  <c r="AM283" i="22"/>
  <c r="DL283" i="22" s="1"/>
  <c r="X283" i="22"/>
  <c r="AQ283" i="22"/>
  <c r="W283" i="22"/>
  <c r="S283" i="22"/>
  <c r="U283" i="22"/>
  <c r="AB283" i="22"/>
  <c r="AC283" i="22"/>
  <c r="Y283" i="22"/>
  <c r="AA283" i="22"/>
  <c r="AD283" i="22"/>
  <c r="Z283" i="22"/>
  <c r="R284" i="26"/>
  <c r="AH284" i="26"/>
  <c r="AJ284" i="26" s="1"/>
  <c r="A285" i="26"/>
  <c r="P284" i="26"/>
  <c r="BC284" i="26" s="1"/>
  <c r="AW284" i="26"/>
  <c r="A285" i="22"/>
  <c r="R284" i="22"/>
  <c r="AH284" i="22"/>
  <c r="AJ284" i="22" s="1"/>
  <c r="P284" i="22"/>
  <c r="BC284" i="22" s="1"/>
  <c r="AW284" i="22"/>
  <c r="AM283" i="20"/>
  <c r="DL283" i="20" s="1"/>
  <c r="S283" i="20"/>
  <c r="U283" i="20"/>
  <c r="W283" i="20"/>
  <c r="AQ283" i="20"/>
  <c r="X283" i="20"/>
  <c r="AC283" i="20"/>
  <c r="Y283" i="20"/>
  <c r="AB283" i="20"/>
  <c r="AA283" i="20"/>
  <c r="AD283" i="20"/>
  <c r="Z283" i="20"/>
  <c r="AM283" i="27"/>
  <c r="DL283" i="27" s="1"/>
  <c r="U283" i="27"/>
  <c r="X283" i="27"/>
  <c r="AQ283" i="27"/>
  <c r="S283" i="27"/>
  <c r="W283" i="27"/>
  <c r="Y283" i="27"/>
  <c r="AB283" i="27"/>
  <c r="AA283" i="27"/>
  <c r="AC283" i="27"/>
  <c r="AD283" i="27"/>
  <c r="Z283" i="27"/>
  <c r="A234" i="22" l="1"/>
  <c r="E234" i="22"/>
  <c r="O236" i="26"/>
  <c r="O236" i="19"/>
  <c r="E236" i="19" s="1"/>
  <c r="AL277" i="3"/>
  <c r="AN277" i="3" s="1"/>
  <c r="AK278" i="3"/>
  <c r="AO276" i="3"/>
  <c r="AP276" i="3"/>
  <c r="AR276" i="3" s="1"/>
  <c r="A250" i="3"/>
  <c r="E250" i="3"/>
  <c r="E249" i="3"/>
  <c r="A249" i="3"/>
  <c r="E236" i="26"/>
  <c r="A236" i="26"/>
  <c r="E236" i="22"/>
  <c r="A236" i="22"/>
  <c r="A236" i="28"/>
  <c r="E236" i="28"/>
  <c r="E236" i="20"/>
  <c r="A236" i="20"/>
  <c r="A236" i="21"/>
  <c r="E236" i="21"/>
  <c r="A236" i="25"/>
  <c r="E236" i="25"/>
  <c r="A236" i="29"/>
  <c r="E236" i="29"/>
  <c r="E236" i="24"/>
  <c r="A236" i="24"/>
  <c r="E236" i="27"/>
  <c r="A236" i="27"/>
  <c r="AI283" i="27"/>
  <c r="AI283" i="26"/>
  <c r="AI283" i="21"/>
  <c r="AI283" i="3"/>
  <c r="AI283" i="25"/>
  <c r="AI283" i="22"/>
  <c r="AI283" i="20"/>
  <c r="AM284" i="26"/>
  <c r="DL284" i="26" s="1"/>
  <c r="W284" i="26"/>
  <c r="X284" i="26"/>
  <c r="AQ284" i="26"/>
  <c r="S284" i="26"/>
  <c r="U284" i="26"/>
  <c r="AA284" i="26"/>
  <c r="Y284" i="26"/>
  <c r="AC284" i="26"/>
  <c r="AB284" i="26"/>
  <c r="AD284" i="26"/>
  <c r="Z284" i="26"/>
  <c r="AH285" i="21"/>
  <c r="AJ285" i="21" s="1"/>
  <c r="A286" i="21"/>
  <c r="R285" i="21"/>
  <c r="AW285" i="21"/>
  <c r="P285" i="21"/>
  <c r="BC285" i="21" s="1"/>
  <c r="AM284" i="3"/>
  <c r="DL284" i="3" s="1"/>
  <c r="U284" i="3"/>
  <c r="W284" i="3"/>
  <c r="X284" i="3"/>
  <c r="AQ284" i="3"/>
  <c r="S284" i="3"/>
  <c r="AC284" i="3"/>
  <c r="Y284" i="3"/>
  <c r="AA284" i="3"/>
  <c r="AB284" i="3"/>
  <c r="Z284" i="3"/>
  <c r="AD284" i="3"/>
  <c r="AM284" i="20"/>
  <c r="DL284" i="20" s="1"/>
  <c r="U284" i="20"/>
  <c r="S284" i="20"/>
  <c r="W284" i="20"/>
  <c r="AQ284" i="20"/>
  <c r="X284" i="20"/>
  <c r="AC284" i="20"/>
  <c r="Y284" i="20"/>
  <c r="AA284" i="20"/>
  <c r="AB284" i="20"/>
  <c r="Z284" i="20"/>
  <c r="AD284" i="20"/>
  <c r="AM284" i="22"/>
  <c r="DL284" i="22" s="1"/>
  <c r="AQ284" i="22"/>
  <c r="U284" i="22"/>
  <c r="W284" i="22"/>
  <c r="S284" i="22"/>
  <c r="X284" i="22"/>
  <c r="AC284" i="22"/>
  <c r="Y284" i="22"/>
  <c r="AA284" i="22"/>
  <c r="AB284" i="22"/>
  <c r="Z284" i="22"/>
  <c r="AD284" i="22"/>
  <c r="R285" i="20"/>
  <c r="AH285" i="20"/>
  <c r="AJ285" i="20" s="1"/>
  <c r="A286" i="20"/>
  <c r="AW285" i="20"/>
  <c r="P285" i="20"/>
  <c r="BC285" i="20" s="1"/>
  <c r="A286" i="23"/>
  <c r="R285" i="23"/>
  <c r="AH285" i="23"/>
  <c r="AJ285" i="23" s="1"/>
  <c r="P285" i="23"/>
  <c r="BC285" i="23" s="1"/>
  <c r="AW285" i="23"/>
  <c r="A285" i="19"/>
  <c r="R284" i="19"/>
  <c r="AH284" i="19"/>
  <c r="AJ284" i="19" s="1"/>
  <c r="P284" i="19"/>
  <c r="BC284" i="19" s="1"/>
  <c r="AW284" i="19"/>
  <c r="A286" i="25"/>
  <c r="R285" i="25"/>
  <c r="AH285" i="25"/>
  <c r="AJ285" i="25" s="1"/>
  <c r="P285" i="25"/>
  <c r="BC285" i="25" s="1"/>
  <c r="AW285" i="25"/>
  <c r="AI283" i="24"/>
  <c r="AM284" i="29"/>
  <c r="DL284" i="29" s="1"/>
  <c r="W284" i="29"/>
  <c r="AQ284" i="29"/>
  <c r="S284" i="29"/>
  <c r="U284" i="29"/>
  <c r="X284" i="29"/>
  <c r="AA284" i="29"/>
  <c r="AC284" i="29"/>
  <c r="Y284" i="29"/>
  <c r="AB284" i="29"/>
  <c r="Z284" i="29"/>
  <c r="AD284" i="29"/>
  <c r="AI283" i="28"/>
  <c r="AM284" i="23"/>
  <c r="DL284" i="23" s="1"/>
  <c r="W284" i="23"/>
  <c r="AQ284" i="23"/>
  <c r="U284" i="23"/>
  <c r="X284" i="23"/>
  <c r="S284" i="23"/>
  <c r="AA284" i="23"/>
  <c r="AC284" i="23"/>
  <c r="Y284" i="23"/>
  <c r="AB284" i="23"/>
  <c r="AD284" i="23"/>
  <c r="Z284" i="23"/>
  <c r="R285" i="22"/>
  <c r="AH285" i="22"/>
  <c r="AJ285" i="22" s="1"/>
  <c r="A286" i="22"/>
  <c r="P285" i="22"/>
  <c r="BC285" i="22" s="1"/>
  <c r="AW285" i="22"/>
  <c r="AM284" i="21"/>
  <c r="DL284" i="21" s="1"/>
  <c r="U284" i="21"/>
  <c r="X284" i="21"/>
  <c r="W284" i="21"/>
  <c r="AQ284" i="21"/>
  <c r="S284" i="21"/>
  <c r="AA284" i="21"/>
  <c r="AC284" i="21"/>
  <c r="Y284" i="21"/>
  <c r="AB284" i="21"/>
  <c r="AD284" i="21"/>
  <c r="Z284" i="21"/>
  <c r="AM283" i="19"/>
  <c r="DL283" i="19" s="1"/>
  <c r="U283" i="19"/>
  <c r="X283" i="19"/>
  <c r="S283" i="19"/>
  <c r="AQ283" i="19"/>
  <c r="W283" i="19"/>
  <c r="AB283" i="19"/>
  <c r="AC283" i="19"/>
  <c r="Y283" i="19"/>
  <c r="AA283" i="19"/>
  <c r="AD283" i="19"/>
  <c r="Z283" i="19"/>
  <c r="AH285" i="29"/>
  <c r="AJ285" i="29" s="1"/>
  <c r="A286" i="29"/>
  <c r="R285" i="29"/>
  <c r="P285" i="29"/>
  <c r="BC285" i="29" s="1"/>
  <c r="AW285" i="29"/>
  <c r="AH285" i="28"/>
  <c r="AJ285" i="28" s="1"/>
  <c r="A286" i="28"/>
  <c r="R285" i="28"/>
  <c r="AW285" i="28"/>
  <c r="P285" i="28"/>
  <c r="BC285" i="28" s="1"/>
  <c r="AM284" i="27"/>
  <c r="DL284" i="27" s="1"/>
  <c r="W284" i="27"/>
  <c r="AQ284" i="27"/>
  <c r="S284" i="27"/>
  <c r="U284" i="27"/>
  <c r="X284" i="27"/>
  <c r="AB284" i="27"/>
  <c r="AA284" i="27"/>
  <c r="AC284" i="27"/>
  <c r="Y284" i="27"/>
  <c r="Z284" i="27"/>
  <c r="AD284" i="27"/>
  <c r="R285" i="24"/>
  <c r="AH285" i="24"/>
  <c r="AJ285" i="24" s="1"/>
  <c r="A286" i="24"/>
  <c r="P285" i="24"/>
  <c r="BC285" i="24" s="1"/>
  <c r="AW285" i="24"/>
  <c r="AM284" i="25"/>
  <c r="DL284" i="25" s="1"/>
  <c r="AQ284" i="25"/>
  <c r="S284" i="25"/>
  <c r="X284" i="25"/>
  <c r="U284" i="25"/>
  <c r="W284" i="25"/>
  <c r="Y284" i="25"/>
  <c r="AA284" i="25"/>
  <c r="AB284" i="25"/>
  <c r="AC284" i="25"/>
  <c r="AD284" i="25"/>
  <c r="Z284" i="25"/>
  <c r="AI283" i="23"/>
  <c r="R285" i="26"/>
  <c r="AH285" i="26"/>
  <c r="AJ285" i="26" s="1"/>
  <c r="A286" i="26"/>
  <c r="P285" i="26"/>
  <c r="BC285" i="26" s="1"/>
  <c r="AW285" i="26"/>
  <c r="A286" i="3"/>
  <c r="R285" i="3"/>
  <c r="AH285" i="3"/>
  <c r="AJ285" i="3" s="1"/>
  <c r="P285" i="3"/>
  <c r="BC285" i="3" s="1"/>
  <c r="AW285" i="3"/>
  <c r="R285" i="27"/>
  <c r="AH285" i="27"/>
  <c r="AJ285" i="27" s="1"/>
  <c r="A286" i="27"/>
  <c r="P285" i="27"/>
  <c r="BC285" i="27" s="1"/>
  <c r="AW285" i="27"/>
  <c r="AM284" i="28"/>
  <c r="DL284" i="28" s="1"/>
  <c r="U284" i="28"/>
  <c r="X284" i="28"/>
  <c r="W284" i="28"/>
  <c r="S284" i="28"/>
  <c r="AQ284" i="28"/>
  <c r="AB284" i="28"/>
  <c r="AA284" i="28"/>
  <c r="AC284" i="28"/>
  <c r="Y284" i="28"/>
  <c r="AD284" i="28"/>
  <c r="Z284" i="28"/>
  <c r="AI282" i="19"/>
  <c r="AM284" i="24"/>
  <c r="DL284" i="24" s="1"/>
  <c r="X284" i="24"/>
  <c r="W284" i="24"/>
  <c r="AQ284" i="24"/>
  <c r="U284" i="24"/>
  <c r="S284" i="24"/>
  <c r="AA284" i="24"/>
  <c r="AB284" i="24"/>
  <c r="Y284" i="24"/>
  <c r="AC284" i="24"/>
  <c r="Z284" i="24"/>
  <c r="AD284" i="24"/>
  <c r="AI283" i="29"/>
  <c r="A236" i="19" l="1"/>
  <c r="AL278" i="3"/>
  <c r="AN278" i="3" s="1"/>
  <c r="AK279" i="3"/>
  <c r="AP277" i="3"/>
  <c r="AR277" i="3" s="1"/>
  <c r="AO277" i="3"/>
  <c r="A252" i="3"/>
  <c r="E252" i="3"/>
  <c r="AI284" i="27"/>
  <c r="AI284" i="26"/>
  <c r="AI284" i="24"/>
  <c r="AI283" i="19"/>
  <c r="AI284" i="25"/>
  <c r="AI284" i="23"/>
  <c r="AI284" i="22"/>
  <c r="AI284" i="3"/>
  <c r="AH286" i="27"/>
  <c r="AJ286" i="27" s="1"/>
  <c r="A287" i="27"/>
  <c r="R286" i="27"/>
  <c r="AW286" i="27"/>
  <c r="P286" i="27"/>
  <c r="BC286" i="27" s="1"/>
  <c r="R286" i="3"/>
  <c r="AH286" i="3"/>
  <c r="AJ286" i="3" s="1"/>
  <c r="A287" i="3"/>
  <c r="P286" i="3"/>
  <c r="BC286" i="3" s="1"/>
  <c r="AW286" i="3"/>
  <c r="A287" i="29"/>
  <c r="R286" i="29"/>
  <c r="AH286" i="29"/>
  <c r="AJ286" i="29" s="1"/>
  <c r="P286" i="29"/>
  <c r="BC286" i="29" s="1"/>
  <c r="AW286" i="29"/>
  <c r="AI284" i="28"/>
  <c r="AM285" i="24"/>
  <c r="DL285" i="24" s="1"/>
  <c r="AQ285" i="24"/>
  <c r="W285" i="24"/>
  <c r="U285" i="24"/>
  <c r="S285" i="24"/>
  <c r="X285" i="24"/>
  <c r="AC285" i="24"/>
  <c r="AB285" i="24"/>
  <c r="Y285" i="24"/>
  <c r="AA285" i="24"/>
  <c r="AD285" i="24"/>
  <c r="Z285" i="24"/>
  <c r="AM285" i="28"/>
  <c r="DL285" i="28" s="1"/>
  <c r="W285" i="28"/>
  <c r="AQ285" i="28"/>
  <c r="S285" i="28"/>
  <c r="X285" i="28"/>
  <c r="U285" i="28"/>
  <c r="AC285" i="28"/>
  <c r="AA285" i="28"/>
  <c r="Y285" i="28"/>
  <c r="AB285" i="28"/>
  <c r="Z285" i="28"/>
  <c r="AD285" i="28"/>
  <c r="AM285" i="20"/>
  <c r="DL285" i="20" s="1"/>
  <c r="S285" i="20"/>
  <c r="W285" i="20"/>
  <c r="X285" i="20"/>
  <c r="AQ285" i="20"/>
  <c r="U285" i="20"/>
  <c r="AC285" i="20"/>
  <c r="AB285" i="20"/>
  <c r="AA285" i="20"/>
  <c r="Y285" i="20"/>
  <c r="AD285" i="20"/>
  <c r="Z285" i="20"/>
  <c r="AM285" i="21"/>
  <c r="DL285" i="21" s="1"/>
  <c r="X285" i="21"/>
  <c r="S285" i="21"/>
  <c r="W285" i="21"/>
  <c r="U285" i="21"/>
  <c r="AQ285" i="21"/>
  <c r="AC285" i="21"/>
  <c r="Y285" i="21"/>
  <c r="AB285" i="21"/>
  <c r="AA285" i="21"/>
  <c r="AD285" i="21"/>
  <c r="Z285" i="21"/>
  <c r="AM285" i="27"/>
  <c r="DL285" i="27" s="1"/>
  <c r="W285" i="27"/>
  <c r="AQ285" i="27"/>
  <c r="X285" i="27"/>
  <c r="S285" i="27"/>
  <c r="U285" i="27"/>
  <c r="AC285" i="27"/>
  <c r="Y285" i="27"/>
  <c r="AA285" i="27"/>
  <c r="AB285" i="27"/>
  <c r="Z285" i="27"/>
  <c r="AD285" i="27"/>
  <c r="A287" i="28"/>
  <c r="R286" i="28"/>
  <c r="AH286" i="28"/>
  <c r="AJ286" i="28" s="1"/>
  <c r="AW286" i="28"/>
  <c r="P286" i="28"/>
  <c r="BC286" i="28" s="1"/>
  <c r="AM285" i="23"/>
  <c r="DL285" i="23" s="1"/>
  <c r="S285" i="23"/>
  <c r="W285" i="23"/>
  <c r="U285" i="23"/>
  <c r="X285" i="23"/>
  <c r="AQ285" i="23"/>
  <c r="Y285" i="23"/>
  <c r="AC285" i="23"/>
  <c r="AA285" i="23"/>
  <c r="AB285" i="23"/>
  <c r="Z285" i="23"/>
  <c r="AD285" i="23"/>
  <c r="A287" i="21"/>
  <c r="R286" i="21"/>
  <c r="AH286" i="21"/>
  <c r="AJ286" i="21" s="1"/>
  <c r="P286" i="21"/>
  <c r="BC286" i="21" s="1"/>
  <c r="AW286" i="21"/>
  <c r="R286" i="23"/>
  <c r="AH286" i="23"/>
  <c r="AJ286" i="23" s="1"/>
  <c r="A287" i="23"/>
  <c r="P286" i="23"/>
  <c r="BC286" i="23" s="1"/>
  <c r="AW286" i="23"/>
  <c r="A287" i="26"/>
  <c r="R286" i="26"/>
  <c r="AH286" i="26"/>
  <c r="AJ286" i="26" s="1"/>
  <c r="AW286" i="26"/>
  <c r="P286" i="26"/>
  <c r="BC286" i="26" s="1"/>
  <c r="AM284" i="19"/>
  <c r="DL284" i="19" s="1"/>
  <c r="S284" i="19"/>
  <c r="AQ284" i="19"/>
  <c r="X284" i="19"/>
  <c r="U284" i="19"/>
  <c r="W284" i="19"/>
  <c r="AA284" i="19"/>
  <c r="Y284" i="19"/>
  <c r="AC284" i="19"/>
  <c r="AB284" i="19"/>
  <c r="AD284" i="19"/>
  <c r="Z284" i="19"/>
  <c r="A287" i="22"/>
  <c r="R286" i="22"/>
  <c r="AH286" i="22"/>
  <c r="AJ286" i="22" s="1"/>
  <c r="P286" i="22"/>
  <c r="BC286" i="22" s="1"/>
  <c r="AW286" i="22"/>
  <c r="R285" i="19"/>
  <c r="AH285" i="19"/>
  <c r="AJ285" i="19" s="1"/>
  <c r="A286" i="19"/>
  <c r="P285" i="19"/>
  <c r="BC285" i="19" s="1"/>
  <c r="AW285" i="19"/>
  <c r="AM285" i="26"/>
  <c r="DL285" i="26" s="1"/>
  <c r="AQ285" i="26"/>
  <c r="U285" i="26"/>
  <c r="X285" i="26"/>
  <c r="W285" i="26"/>
  <c r="S285" i="26"/>
  <c r="AC285" i="26"/>
  <c r="AB285" i="26"/>
  <c r="Y285" i="26"/>
  <c r="AA285" i="26"/>
  <c r="AD285" i="26"/>
  <c r="Z285" i="26"/>
  <c r="AI284" i="21"/>
  <c r="AI284" i="29"/>
  <c r="AM285" i="25"/>
  <c r="DL285" i="25" s="1"/>
  <c r="U285" i="25"/>
  <c r="AQ285" i="25"/>
  <c r="W285" i="25"/>
  <c r="X285" i="25"/>
  <c r="S285" i="25"/>
  <c r="AC285" i="25"/>
  <c r="Y285" i="25"/>
  <c r="AA285" i="25"/>
  <c r="AB285" i="25"/>
  <c r="Z285" i="25"/>
  <c r="AD285" i="25"/>
  <c r="AM285" i="3"/>
  <c r="DL285" i="3" s="1"/>
  <c r="X285" i="3"/>
  <c r="U285" i="3"/>
  <c r="W285" i="3"/>
  <c r="AQ285" i="3"/>
  <c r="S285" i="3"/>
  <c r="Y285" i="3"/>
  <c r="AC285" i="3"/>
  <c r="AB285" i="3"/>
  <c r="AA285" i="3"/>
  <c r="AD285" i="3"/>
  <c r="Z285" i="3"/>
  <c r="A287" i="24"/>
  <c r="R286" i="24"/>
  <c r="AH286" i="24"/>
  <c r="AJ286" i="24" s="1"/>
  <c r="P286" i="24"/>
  <c r="BC286" i="24" s="1"/>
  <c r="AW286" i="24"/>
  <c r="AM285" i="29"/>
  <c r="DL285" i="29" s="1"/>
  <c r="S285" i="29"/>
  <c r="W285" i="29"/>
  <c r="X285" i="29"/>
  <c r="AQ285" i="29"/>
  <c r="U285" i="29"/>
  <c r="AA285" i="29"/>
  <c r="Y285" i="29"/>
  <c r="AB285" i="29"/>
  <c r="AC285" i="29"/>
  <c r="Z285" i="29"/>
  <c r="AD285" i="29"/>
  <c r="AM285" i="22"/>
  <c r="DL285" i="22" s="1"/>
  <c r="W285" i="22"/>
  <c r="X285" i="22"/>
  <c r="S285" i="22"/>
  <c r="AQ285" i="22"/>
  <c r="U285" i="22"/>
  <c r="AC285" i="22"/>
  <c r="Y285" i="22"/>
  <c r="AB285" i="22"/>
  <c r="AA285" i="22"/>
  <c r="Z285" i="22"/>
  <c r="AD285" i="22"/>
  <c r="R286" i="25"/>
  <c r="AH286" i="25"/>
  <c r="AJ286" i="25" s="1"/>
  <c r="A287" i="25"/>
  <c r="AW286" i="25"/>
  <c r="P286" i="25"/>
  <c r="BC286" i="25" s="1"/>
  <c r="AH286" i="20"/>
  <c r="AJ286" i="20" s="1"/>
  <c r="A287" i="20"/>
  <c r="R286" i="20"/>
  <c r="P286" i="20"/>
  <c r="BC286" i="20" s="1"/>
  <c r="AW286" i="20"/>
  <c r="AI284" i="20"/>
  <c r="AL279" i="3" l="1"/>
  <c r="AN279" i="3" s="1"/>
  <c r="AK280" i="3"/>
  <c r="AO278" i="3"/>
  <c r="AP278" i="3"/>
  <c r="AR278" i="3" s="1"/>
  <c r="A254" i="3"/>
  <c r="E254" i="3"/>
  <c r="AI285" i="20"/>
  <c r="AI285" i="24"/>
  <c r="AI284" i="19"/>
  <c r="AI285" i="26"/>
  <c r="AI285" i="23"/>
  <c r="AI285" i="25"/>
  <c r="AI285" i="28"/>
  <c r="AH287" i="25"/>
  <c r="AJ287" i="25" s="1"/>
  <c r="A288" i="25"/>
  <c r="R287" i="25"/>
  <c r="P287" i="25"/>
  <c r="BC287" i="25" s="1"/>
  <c r="AW287" i="25"/>
  <c r="R287" i="24"/>
  <c r="AH287" i="24"/>
  <c r="AJ287" i="24" s="1"/>
  <c r="A288" i="24"/>
  <c r="AW287" i="24"/>
  <c r="P287" i="24"/>
  <c r="BC287" i="24" s="1"/>
  <c r="AM286" i="20"/>
  <c r="DL286" i="20" s="1"/>
  <c r="W286" i="20"/>
  <c r="X286" i="20"/>
  <c r="U286" i="20"/>
  <c r="S286" i="20"/>
  <c r="AQ286" i="20"/>
  <c r="Y286" i="20"/>
  <c r="AA286" i="20"/>
  <c r="AB286" i="20"/>
  <c r="AC286" i="20"/>
  <c r="Z286" i="20"/>
  <c r="AD286" i="20"/>
  <c r="AM286" i="25"/>
  <c r="DL286" i="25" s="1"/>
  <c r="U286" i="25"/>
  <c r="X286" i="25"/>
  <c r="AQ286" i="25"/>
  <c r="W286" i="25"/>
  <c r="S286" i="25"/>
  <c r="AC286" i="25"/>
  <c r="AA286" i="25"/>
  <c r="AB286" i="25"/>
  <c r="Y286" i="25"/>
  <c r="Z286" i="25"/>
  <c r="AD286" i="25"/>
  <c r="R286" i="19"/>
  <c r="AH286" i="19"/>
  <c r="AJ286" i="19" s="1"/>
  <c r="A287" i="19"/>
  <c r="P286" i="19"/>
  <c r="BC286" i="19" s="1"/>
  <c r="AW286" i="19"/>
  <c r="R287" i="22"/>
  <c r="AH287" i="22"/>
  <c r="AJ287" i="22" s="1"/>
  <c r="A288" i="22"/>
  <c r="P287" i="22"/>
  <c r="BC287" i="22" s="1"/>
  <c r="AW287" i="22"/>
  <c r="AM286" i="23"/>
  <c r="DL286" i="23" s="1"/>
  <c r="U286" i="23"/>
  <c r="W286" i="23"/>
  <c r="AQ286" i="23"/>
  <c r="S286" i="23"/>
  <c r="X286" i="23"/>
  <c r="AA286" i="23"/>
  <c r="Y286" i="23"/>
  <c r="AC286" i="23"/>
  <c r="AB286" i="23"/>
  <c r="AD286" i="23"/>
  <c r="Z286" i="23"/>
  <c r="R287" i="28"/>
  <c r="AH287" i="28"/>
  <c r="AJ287" i="28" s="1"/>
  <c r="A288" i="28"/>
  <c r="AW287" i="28"/>
  <c r="P287" i="28"/>
  <c r="BC287" i="28" s="1"/>
  <c r="AM286" i="26"/>
  <c r="DL286" i="26" s="1"/>
  <c r="S286" i="26"/>
  <c r="AQ286" i="26"/>
  <c r="W286" i="26"/>
  <c r="U286" i="26"/>
  <c r="X286" i="26"/>
  <c r="AC286" i="26"/>
  <c r="Y286" i="26"/>
  <c r="AB286" i="26"/>
  <c r="AA286" i="26"/>
  <c r="Z286" i="26"/>
  <c r="AD286" i="26"/>
  <c r="AI285" i="22"/>
  <c r="AM285" i="19"/>
  <c r="DL285" i="19" s="1"/>
  <c r="S285" i="19"/>
  <c r="W285" i="19"/>
  <c r="AQ285" i="19"/>
  <c r="U285" i="19"/>
  <c r="X285" i="19"/>
  <c r="AB285" i="19"/>
  <c r="AA285" i="19"/>
  <c r="AC285" i="19"/>
  <c r="Y285" i="19"/>
  <c r="Z285" i="19"/>
  <c r="AD285" i="19"/>
  <c r="R287" i="26"/>
  <c r="AH287" i="26"/>
  <c r="AJ287" i="26" s="1"/>
  <c r="A288" i="26"/>
  <c r="P287" i="26"/>
  <c r="BC287" i="26" s="1"/>
  <c r="AW287" i="26"/>
  <c r="AI285" i="27"/>
  <c r="AM286" i="29"/>
  <c r="DL286" i="29" s="1"/>
  <c r="U286" i="29"/>
  <c r="X286" i="29"/>
  <c r="W286" i="29"/>
  <c r="AQ286" i="29"/>
  <c r="S286" i="29"/>
  <c r="AA286" i="29"/>
  <c r="AC286" i="29"/>
  <c r="Y286" i="29"/>
  <c r="AB286" i="29"/>
  <c r="Z286" i="29"/>
  <c r="AD286" i="29"/>
  <c r="AM286" i="3"/>
  <c r="DL286" i="3" s="1"/>
  <c r="U286" i="3"/>
  <c r="W286" i="3"/>
  <c r="X286" i="3"/>
  <c r="AQ286" i="3"/>
  <c r="S286" i="3"/>
  <c r="Y286" i="3"/>
  <c r="AB286" i="3"/>
  <c r="AC286" i="3"/>
  <c r="AA286" i="3"/>
  <c r="AD286" i="3"/>
  <c r="Z286" i="3"/>
  <c r="R287" i="29"/>
  <c r="AH287" i="29"/>
  <c r="AJ287" i="29" s="1"/>
  <c r="A288" i="29"/>
  <c r="P287" i="29"/>
  <c r="BC287" i="29" s="1"/>
  <c r="AW287" i="29"/>
  <c r="AM286" i="21"/>
  <c r="DL286" i="21" s="1"/>
  <c r="X286" i="21"/>
  <c r="AQ286" i="21"/>
  <c r="U286" i="21"/>
  <c r="S286" i="21"/>
  <c r="W286" i="21"/>
  <c r="Y286" i="21"/>
  <c r="AC286" i="21"/>
  <c r="AB286" i="21"/>
  <c r="AA286" i="21"/>
  <c r="Z286" i="21"/>
  <c r="AD286" i="21"/>
  <c r="AI285" i="21"/>
  <c r="AM286" i="27"/>
  <c r="DL286" i="27" s="1"/>
  <c r="U286" i="27"/>
  <c r="X286" i="27"/>
  <c r="AQ286" i="27"/>
  <c r="W286" i="27"/>
  <c r="S286" i="27"/>
  <c r="Y286" i="27"/>
  <c r="AA286" i="27"/>
  <c r="AC286" i="27"/>
  <c r="AB286" i="27"/>
  <c r="AD286" i="27"/>
  <c r="Z286" i="27"/>
  <c r="AI285" i="29"/>
  <c r="A288" i="27"/>
  <c r="R287" i="27"/>
  <c r="AH287" i="27"/>
  <c r="AJ287" i="27" s="1"/>
  <c r="P287" i="27"/>
  <c r="BC287" i="27" s="1"/>
  <c r="AW287" i="27"/>
  <c r="A288" i="20"/>
  <c r="R287" i="20"/>
  <c r="AH287" i="20"/>
  <c r="AJ287" i="20" s="1"/>
  <c r="P287" i="20"/>
  <c r="BC287" i="20" s="1"/>
  <c r="AW287" i="20"/>
  <c r="AM286" i="24"/>
  <c r="DL286" i="24" s="1"/>
  <c r="W286" i="24"/>
  <c r="AQ286" i="24"/>
  <c r="X286" i="24"/>
  <c r="U286" i="24"/>
  <c r="S286" i="24"/>
  <c r="AC286" i="24"/>
  <c r="AB286" i="24"/>
  <c r="Y286" i="24"/>
  <c r="AA286" i="24"/>
  <c r="AD286" i="24"/>
  <c r="Z286" i="24"/>
  <c r="R287" i="23"/>
  <c r="AH287" i="23"/>
  <c r="AJ287" i="23" s="1"/>
  <c r="A288" i="23"/>
  <c r="P287" i="23"/>
  <c r="BC287" i="23" s="1"/>
  <c r="AW287" i="23"/>
  <c r="R287" i="21"/>
  <c r="AH287" i="21"/>
  <c r="AJ287" i="21" s="1"/>
  <c r="A288" i="21"/>
  <c r="AW287" i="21"/>
  <c r="P287" i="21"/>
  <c r="BC287" i="21" s="1"/>
  <c r="AI285" i="3"/>
  <c r="AM286" i="22"/>
  <c r="DL286" i="22" s="1"/>
  <c r="W286" i="22"/>
  <c r="S286" i="22"/>
  <c r="U286" i="22"/>
  <c r="X286" i="22"/>
  <c r="AQ286" i="22"/>
  <c r="AB286" i="22"/>
  <c r="Y286" i="22"/>
  <c r="AA286" i="22"/>
  <c r="AC286" i="22"/>
  <c r="AD286" i="22"/>
  <c r="Z286" i="22"/>
  <c r="AM286" i="28"/>
  <c r="DL286" i="28" s="1"/>
  <c r="U286" i="28"/>
  <c r="X286" i="28"/>
  <c r="AQ286" i="28"/>
  <c r="S286" i="28"/>
  <c r="W286" i="28"/>
  <c r="AB286" i="28"/>
  <c r="AA286" i="28"/>
  <c r="AC286" i="28"/>
  <c r="Y286" i="28"/>
  <c r="Z286" i="28"/>
  <c r="AD286" i="28"/>
  <c r="R287" i="3"/>
  <c r="AH287" i="3"/>
  <c r="AJ287" i="3" s="1"/>
  <c r="A288" i="3"/>
  <c r="AW287" i="3"/>
  <c r="P287" i="3"/>
  <c r="BC287" i="3" s="1"/>
  <c r="AL280" i="3" l="1"/>
  <c r="AN280" i="3" s="1"/>
  <c r="AK281" i="3"/>
  <c r="AO279" i="3"/>
  <c r="AP279" i="3"/>
  <c r="AR279" i="3" s="1"/>
  <c r="AI286" i="28"/>
  <c r="AI286" i="23"/>
  <c r="AI286" i="20"/>
  <c r="AI286" i="27"/>
  <c r="AI286" i="25"/>
  <c r="AI285" i="19"/>
  <c r="AI286" i="3"/>
  <c r="AM287" i="3"/>
  <c r="DL287" i="3" s="1"/>
  <c r="U287" i="3"/>
  <c r="W287" i="3"/>
  <c r="X287" i="3"/>
  <c r="AQ287" i="3"/>
  <c r="S287" i="3"/>
  <c r="AA287" i="3"/>
  <c r="AB287" i="3"/>
  <c r="AC287" i="3"/>
  <c r="Y287" i="3"/>
  <c r="AD287" i="3"/>
  <c r="Z287" i="3"/>
  <c r="A289" i="28"/>
  <c r="R288" i="28"/>
  <c r="AH288" i="28"/>
  <c r="AJ288" i="28" s="1"/>
  <c r="P288" i="28"/>
  <c r="BC288" i="28" s="1"/>
  <c r="AW288" i="28"/>
  <c r="A288" i="19"/>
  <c r="R287" i="19"/>
  <c r="AH287" i="19"/>
  <c r="AJ287" i="19" s="1"/>
  <c r="AW287" i="19"/>
  <c r="P287" i="19"/>
  <c r="BC287" i="19" s="1"/>
  <c r="AM287" i="24"/>
  <c r="DL287" i="24" s="1"/>
  <c r="X287" i="24"/>
  <c r="W287" i="24"/>
  <c r="S287" i="24"/>
  <c r="AQ287" i="24"/>
  <c r="U287" i="24"/>
  <c r="AC287" i="24"/>
  <c r="AA287" i="24"/>
  <c r="AB287" i="24"/>
  <c r="Y287" i="24"/>
  <c r="Z287" i="24"/>
  <c r="AD287" i="24"/>
  <c r="AH288" i="26"/>
  <c r="AJ288" i="26" s="1"/>
  <c r="A289" i="26"/>
  <c r="R288" i="26"/>
  <c r="AW288" i="26"/>
  <c r="P288" i="26"/>
  <c r="BC288" i="26" s="1"/>
  <c r="A289" i="23"/>
  <c r="R288" i="23"/>
  <c r="AH288" i="23"/>
  <c r="AJ288" i="23" s="1"/>
  <c r="AW288" i="23"/>
  <c r="P288" i="23"/>
  <c r="BC288" i="23" s="1"/>
  <c r="R288" i="29"/>
  <c r="A289" i="29"/>
  <c r="AH288" i="29"/>
  <c r="AJ288" i="29" s="1"/>
  <c r="AW288" i="29"/>
  <c r="P288" i="29"/>
  <c r="BC288" i="29" s="1"/>
  <c r="AI286" i="29"/>
  <c r="AI286" i="26"/>
  <c r="AM287" i="28"/>
  <c r="DL287" i="28" s="1"/>
  <c r="AQ287" i="28"/>
  <c r="U287" i="28"/>
  <c r="W287" i="28"/>
  <c r="X287" i="28"/>
  <c r="S287" i="28"/>
  <c r="AC287" i="28"/>
  <c r="AA287" i="28"/>
  <c r="Y287" i="28"/>
  <c r="AB287" i="28"/>
  <c r="Z287" i="28"/>
  <c r="AD287" i="28"/>
  <c r="R288" i="22"/>
  <c r="AH288" i="22"/>
  <c r="AJ288" i="22" s="1"/>
  <c r="A289" i="22"/>
  <c r="P288" i="22"/>
  <c r="BC288" i="22" s="1"/>
  <c r="AW288" i="22"/>
  <c r="AM286" i="19"/>
  <c r="DL286" i="19" s="1"/>
  <c r="U286" i="19"/>
  <c r="S286" i="19"/>
  <c r="W286" i="19"/>
  <c r="X286" i="19"/>
  <c r="AQ286" i="19"/>
  <c r="Y286" i="19"/>
  <c r="AB286" i="19"/>
  <c r="AA286" i="19"/>
  <c r="AC286" i="19"/>
  <c r="Z286" i="19"/>
  <c r="AD286" i="19"/>
  <c r="AM287" i="27"/>
  <c r="DL287" i="27" s="1"/>
  <c r="S287" i="27"/>
  <c r="W287" i="27"/>
  <c r="U287" i="27"/>
  <c r="X287" i="27"/>
  <c r="AQ287" i="27"/>
  <c r="AC287" i="27"/>
  <c r="Y287" i="27"/>
  <c r="AB287" i="27"/>
  <c r="AA287" i="27"/>
  <c r="AD287" i="27"/>
  <c r="Z287" i="27"/>
  <c r="AM287" i="26"/>
  <c r="DL287" i="26" s="1"/>
  <c r="X287" i="26"/>
  <c r="W287" i="26"/>
  <c r="AQ287" i="26"/>
  <c r="S287" i="26"/>
  <c r="U287" i="26"/>
  <c r="AB287" i="26"/>
  <c r="AC287" i="26"/>
  <c r="AA287" i="26"/>
  <c r="Y287" i="26"/>
  <c r="AD287" i="26"/>
  <c r="Z287" i="26"/>
  <c r="AI286" i="22"/>
  <c r="A289" i="21"/>
  <c r="R288" i="21"/>
  <c r="AH288" i="21"/>
  <c r="AJ288" i="21" s="1"/>
  <c r="AW288" i="21"/>
  <c r="P288" i="21"/>
  <c r="BC288" i="21" s="1"/>
  <c r="AM287" i="23"/>
  <c r="DL287" i="23" s="1"/>
  <c r="W287" i="23"/>
  <c r="AQ287" i="23"/>
  <c r="U287" i="23"/>
  <c r="X287" i="23"/>
  <c r="S287" i="23"/>
  <c r="AA287" i="23"/>
  <c r="Y287" i="23"/>
  <c r="AC287" i="23"/>
  <c r="AB287" i="23"/>
  <c r="Z287" i="23"/>
  <c r="AD287" i="23"/>
  <c r="R288" i="27"/>
  <c r="AH288" i="27"/>
  <c r="AJ288" i="27" s="1"/>
  <c r="A289" i="27"/>
  <c r="AW288" i="27"/>
  <c r="P288" i="27"/>
  <c r="BC288" i="27" s="1"/>
  <c r="AI286" i="21"/>
  <c r="AM287" i="29"/>
  <c r="DL287" i="29" s="1"/>
  <c r="AQ287" i="29"/>
  <c r="U287" i="29"/>
  <c r="X287" i="29"/>
  <c r="S287" i="29"/>
  <c r="W287" i="29"/>
  <c r="AC287" i="29"/>
  <c r="AA287" i="29"/>
  <c r="AB287" i="29"/>
  <c r="Y287" i="29"/>
  <c r="AD287" i="29"/>
  <c r="Z287" i="29"/>
  <c r="AM287" i="22"/>
  <c r="DL287" i="22" s="1"/>
  <c r="W287" i="22"/>
  <c r="U287" i="22"/>
  <c r="AQ287" i="22"/>
  <c r="X287" i="22"/>
  <c r="S287" i="22"/>
  <c r="Y287" i="22"/>
  <c r="AA287" i="22"/>
  <c r="AB287" i="22"/>
  <c r="AC287" i="22"/>
  <c r="Z287" i="22"/>
  <c r="AD287" i="22"/>
  <c r="AM287" i="25"/>
  <c r="DL287" i="25" s="1"/>
  <c r="S287" i="25"/>
  <c r="AQ287" i="25"/>
  <c r="W287" i="25"/>
  <c r="U287" i="25"/>
  <c r="X287" i="25"/>
  <c r="Y287" i="25"/>
  <c r="AB287" i="25"/>
  <c r="AA287" i="25"/>
  <c r="AC287" i="25"/>
  <c r="AD287" i="25"/>
  <c r="Z287" i="25"/>
  <c r="A289" i="3"/>
  <c r="R288" i="3"/>
  <c r="AH288" i="3"/>
  <c r="AJ288" i="3" s="1"/>
  <c r="P288" i="3"/>
  <c r="BC288" i="3" s="1"/>
  <c r="AW288" i="3"/>
  <c r="AI286" i="24"/>
  <c r="AM287" i="20"/>
  <c r="DL287" i="20" s="1"/>
  <c r="U287" i="20"/>
  <c r="AQ287" i="20"/>
  <c r="S287" i="20"/>
  <c r="W287" i="20"/>
  <c r="X287" i="20"/>
  <c r="AC287" i="20"/>
  <c r="AA287" i="20"/>
  <c r="Y287" i="20"/>
  <c r="AB287" i="20"/>
  <c r="Z287" i="20"/>
  <c r="AD287" i="20"/>
  <c r="A289" i="25"/>
  <c r="R288" i="25"/>
  <c r="AH288" i="25"/>
  <c r="AJ288" i="25" s="1"/>
  <c r="AW288" i="25"/>
  <c r="P288" i="25"/>
  <c r="BC288" i="25" s="1"/>
  <c r="AM287" i="21"/>
  <c r="DL287" i="21" s="1"/>
  <c r="U287" i="21"/>
  <c r="X287" i="21"/>
  <c r="AQ287" i="21"/>
  <c r="S287" i="21"/>
  <c r="W287" i="21"/>
  <c r="Y287" i="21"/>
  <c r="AA287" i="21"/>
  <c r="AB287" i="21"/>
  <c r="AC287" i="21"/>
  <c r="Z287" i="21"/>
  <c r="AD287" i="21"/>
  <c r="R288" i="20"/>
  <c r="AH288" i="20"/>
  <c r="AJ288" i="20" s="1"/>
  <c r="A289" i="20"/>
  <c r="P288" i="20"/>
  <c r="BC288" i="20" s="1"/>
  <c r="AW288" i="20"/>
  <c r="AH288" i="24"/>
  <c r="AJ288" i="24" s="1"/>
  <c r="A289" i="24"/>
  <c r="R288" i="24"/>
  <c r="P288" i="24"/>
  <c r="BC288" i="24" s="1"/>
  <c r="AW288" i="24"/>
  <c r="AK282" i="3" l="1"/>
  <c r="AL281" i="3"/>
  <c r="AN281" i="3" s="1"/>
  <c r="AP280" i="3"/>
  <c r="AR280" i="3" s="1"/>
  <c r="AO280" i="3"/>
  <c r="AI287" i="3"/>
  <c r="AI287" i="22"/>
  <c r="AI287" i="26"/>
  <c r="AI287" i="27"/>
  <c r="AI287" i="24"/>
  <c r="AI287" i="20"/>
  <c r="AI287" i="28"/>
  <c r="AM288" i="25"/>
  <c r="DL288" i="25" s="1"/>
  <c r="U288" i="25"/>
  <c r="X288" i="25"/>
  <c r="W288" i="25"/>
  <c r="S288" i="25"/>
  <c r="AQ288" i="25"/>
  <c r="Y288" i="25"/>
  <c r="AA288" i="25"/>
  <c r="AB288" i="25"/>
  <c r="AC288" i="25"/>
  <c r="Z288" i="25"/>
  <c r="AD288" i="25"/>
  <c r="AI287" i="21"/>
  <c r="R289" i="25"/>
  <c r="AH289" i="25"/>
  <c r="AJ289" i="25" s="1"/>
  <c r="A290" i="25"/>
  <c r="AW289" i="25"/>
  <c r="P289" i="25"/>
  <c r="BC289" i="25" s="1"/>
  <c r="AI287" i="23"/>
  <c r="R289" i="21"/>
  <c r="AH289" i="21"/>
  <c r="AJ289" i="21" s="1"/>
  <c r="A290" i="21"/>
  <c r="P289" i="21"/>
  <c r="BC289" i="21" s="1"/>
  <c r="AW289" i="21"/>
  <c r="A290" i="22"/>
  <c r="R289" i="22"/>
  <c r="AH289" i="22"/>
  <c r="AJ289" i="22" s="1"/>
  <c r="P289" i="22"/>
  <c r="BC289" i="22" s="1"/>
  <c r="AW289" i="22"/>
  <c r="AM288" i="26"/>
  <c r="DL288" i="26" s="1"/>
  <c r="AQ288" i="26"/>
  <c r="S288" i="26"/>
  <c r="W288" i="26"/>
  <c r="U288" i="26"/>
  <c r="X288" i="26"/>
  <c r="AA288" i="26"/>
  <c r="Y288" i="26"/>
  <c r="AC288" i="26"/>
  <c r="AB288" i="26"/>
  <c r="AD288" i="26"/>
  <c r="Z288" i="26"/>
  <c r="AM288" i="3"/>
  <c r="DL288" i="3" s="1"/>
  <c r="W288" i="3"/>
  <c r="X288" i="3"/>
  <c r="U288" i="3"/>
  <c r="S288" i="3"/>
  <c r="AQ288" i="3"/>
  <c r="AB288" i="3"/>
  <c r="AC288" i="3"/>
  <c r="Y288" i="3"/>
  <c r="AA288" i="3"/>
  <c r="Z288" i="3"/>
  <c r="AD288" i="3"/>
  <c r="A290" i="26"/>
  <c r="R289" i="26"/>
  <c r="AH289" i="26"/>
  <c r="AJ289" i="26" s="1"/>
  <c r="P289" i="26"/>
  <c r="BC289" i="26" s="1"/>
  <c r="AW289" i="26"/>
  <c r="AM288" i="28"/>
  <c r="DL288" i="28" s="1"/>
  <c r="W288" i="28"/>
  <c r="S288" i="28"/>
  <c r="X288" i="28"/>
  <c r="AQ288" i="28"/>
  <c r="U288" i="28"/>
  <c r="Y288" i="28"/>
  <c r="AA288" i="28"/>
  <c r="AC288" i="28"/>
  <c r="AB288" i="28"/>
  <c r="AD288" i="28"/>
  <c r="Z288" i="28"/>
  <c r="R289" i="3"/>
  <c r="AH289" i="3"/>
  <c r="AJ289" i="3" s="1"/>
  <c r="A290" i="3"/>
  <c r="AW289" i="3"/>
  <c r="P289" i="3"/>
  <c r="BC289" i="3" s="1"/>
  <c r="AI286" i="19"/>
  <c r="AM288" i="22"/>
  <c r="DL288" i="22" s="1"/>
  <c r="X288" i="22"/>
  <c r="W288" i="22"/>
  <c r="AQ288" i="22"/>
  <c r="S288" i="22"/>
  <c r="U288" i="22"/>
  <c r="AB288" i="22"/>
  <c r="AA288" i="22"/>
  <c r="AC288" i="22"/>
  <c r="Y288" i="22"/>
  <c r="AD288" i="22"/>
  <c r="Z288" i="22"/>
  <c r="R289" i="28"/>
  <c r="AH289" i="28"/>
  <c r="AJ289" i="28" s="1"/>
  <c r="A290" i="28"/>
  <c r="P289" i="28"/>
  <c r="BC289" i="28" s="1"/>
  <c r="AW289" i="28"/>
  <c r="A290" i="20"/>
  <c r="R289" i="20"/>
  <c r="AH289" i="20"/>
  <c r="AJ289" i="20" s="1"/>
  <c r="AW289" i="20"/>
  <c r="P289" i="20"/>
  <c r="BC289" i="20" s="1"/>
  <c r="AI287" i="25"/>
  <c r="AI287" i="29"/>
  <c r="A290" i="27"/>
  <c r="R289" i="27"/>
  <c r="AH289" i="27"/>
  <c r="AJ289" i="27" s="1"/>
  <c r="P289" i="27"/>
  <c r="BC289" i="27" s="1"/>
  <c r="AW289" i="27"/>
  <c r="AM288" i="23"/>
  <c r="DL288" i="23" s="1"/>
  <c r="W288" i="23"/>
  <c r="S288" i="23"/>
  <c r="AQ288" i="23"/>
  <c r="U288" i="23"/>
  <c r="X288" i="23"/>
  <c r="AC288" i="23"/>
  <c r="AA288" i="23"/>
  <c r="AB288" i="23"/>
  <c r="Y288" i="23"/>
  <c r="Z288" i="23"/>
  <c r="AD288" i="23"/>
  <c r="AM287" i="19"/>
  <c r="DL287" i="19" s="1"/>
  <c r="W287" i="19"/>
  <c r="AQ287" i="19"/>
  <c r="X287" i="19"/>
  <c r="S287" i="19"/>
  <c r="U287" i="19"/>
  <c r="AA287" i="19"/>
  <c r="AC287" i="19"/>
  <c r="Y287" i="19"/>
  <c r="AB287" i="19"/>
  <c r="AD287" i="19"/>
  <c r="Z287" i="19"/>
  <c r="R288" i="19"/>
  <c r="AH288" i="19"/>
  <c r="AJ288" i="19" s="1"/>
  <c r="A289" i="19"/>
  <c r="AW288" i="19"/>
  <c r="P288" i="19"/>
  <c r="BC288" i="19" s="1"/>
  <c r="R289" i="23"/>
  <c r="AH289" i="23"/>
  <c r="AJ289" i="23" s="1"/>
  <c r="A290" i="23"/>
  <c r="AW289" i="23"/>
  <c r="P289" i="23"/>
  <c r="BC289" i="23" s="1"/>
  <c r="AM288" i="24"/>
  <c r="DL288" i="24" s="1"/>
  <c r="AQ288" i="24"/>
  <c r="S288" i="24"/>
  <c r="W288" i="24"/>
  <c r="X288" i="24"/>
  <c r="U288" i="24"/>
  <c r="AA288" i="24"/>
  <c r="Y288" i="24"/>
  <c r="AB288" i="24"/>
  <c r="AC288" i="24"/>
  <c r="Z288" i="24"/>
  <c r="AD288" i="24"/>
  <c r="AM288" i="20"/>
  <c r="DL288" i="20" s="1"/>
  <c r="S288" i="20"/>
  <c r="W288" i="20"/>
  <c r="AQ288" i="20"/>
  <c r="U288" i="20"/>
  <c r="X288" i="20"/>
  <c r="AB288" i="20"/>
  <c r="AC288" i="20"/>
  <c r="AA288" i="20"/>
  <c r="Y288" i="20"/>
  <c r="Z288" i="20"/>
  <c r="AD288" i="20"/>
  <c r="AM288" i="27"/>
  <c r="DL288" i="27" s="1"/>
  <c r="S288" i="27"/>
  <c r="AQ288" i="27"/>
  <c r="U288" i="27"/>
  <c r="X288" i="27"/>
  <c r="W288" i="27"/>
  <c r="AB288" i="27"/>
  <c r="Y288" i="27"/>
  <c r="AC288" i="27"/>
  <c r="AA288" i="27"/>
  <c r="Z288" i="27"/>
  <c r="AD288" i="27"/>
  <c r="R289" i="29"/>
  <c r="AH289" i="29"/>
  <c r="AJ289" i="29" s="1"/>
  <c r="A290" i="29"/>
  <c r="P289" i="29"/>
  <c r="BC289" i="29" s="1"/>
  <c r="AW289" i="29"/>
  <c r="A290" i="24"/>
  <c r="R289" i="24"/>
  <c r="AH289" i="24"/>
  <c r="AJ289" i="24" s="1"/>
  <c r="P289" i="24"/>
  <c r="BC289" i="24" s="1"/>
  <c r="AW289" i="24"/>
  <c r="AM288" i="21"/>
  <c r="DL288" i="21" s="1"/>
  <c r="U288" i="21"/>
  <c r="S288" i="21"/>
  <c r="X288" i="21"/>
  <c r="W288" i="21"/>
  <c r="AQ288" i="21"/>
  <c r="AA288" i="21"/>
  <c r="Y288" i="21"/>
  <c r="AC288" i="21"/>
  <c r="AB288" i="21"/>
  <c r="Z288" i="21"/>
  <c r="AD288" i="21"/>
  <c r="AM288" i="29"/>
  <c r="DL288" i="29" s="1"/>
  <c r="AQ288" i="29"/>
  <c r="S288" i="29"/>
  <c r="X288" i="29"/>
  <c r="U288" i="29"/>
  <c r="W288" i="29"/>
  <c r="AC288" i="29"/>
  <c r="Y288" i="29"/>
  <c r="AB288" i="29"/>
  <c r="AA288" i="29"/>
  <c r="Z288" i="29"/>
  <c r="AD288" i="29"/>
  <c r="AO281" i="3" l="1"/>
  <c r="AP281" i="3"/>
  <c r="AR281" i="3" s="1"/>
  <c r="AL282" i="3"/>
  <c r="AN282" i="3" s="1"/>
  <c r="AK283" i="3"/>
  <c r="AI288" i="28"/>
  <c r="AI288" i="25"/>
  <c r="AI288" i="27"/>
  <c r="AI288" i="24"/>
  <c r="AI288" i="21"/>
  <c r="AI288" i="29"/>
  <c r="AI288" i="3"/>
  <c r="R290" i="24"/>
  <c r="AH290" i="24"/>
  <c r="AJ290" i="24" s="1"/>
  <c r="A291" i="24"/>
  <c r="P290" i="24"/>
  <c r="BC290" i="24" s="1"/>
  <c r="AW290" i="24"/>
  <c r="AM289" i="23"/>
  <c r="DL289" i="23" s="1"/>
  <c r="X289" i="23"/>
  <c r="W289" i="23"/>
  <c r="U289" i="23"/>
  <c r="AQ289" i="23"/>
  <c r="S289" i="23"/>
  <c r="Y289" i="23"/>
  <c r="AB289" i="23"/>
  <c r="AC289" i="23"/>
  <c r="AA289" i="23"/>
  <c r="AD289" i="23"/>
  <c r="Z289" i="23"/>
  <c r="R290" i="28"/>
  <c r="AH290" i="28"/>
  <c r="AJ290" i="28" s="1"/>
  <c r="A291" i="28"/>
  <c r="P290" i="28"/>
  <c r="BC290" i="28" s="1"/>
  <c r="AW290" i="28"/>
  <c r="A291" i="25"/>
  <c r="R290" i="25"/>
  <c r="AH290" i="25"/>
  <c r="AJ290" i="25" s="1"/>
  <c r="P290" i="25"/>
  <c r="BC290" i="25" s="1"/>
  <c r="AW290" i="25"/>
  <c r="R290" i="21"/>
  <c r="AH290" i="21"/>
  <c r="AJ290" i="21" s="1"/>
  <c r="A291" i="21"/>
  <c r="AW290" i="21"/>
  <c r="P290" i="21"/>
  <c r="BC290" i="21" s="1"/>
  <c r="AM289" i="28"/>
  <c r="DL289" i="28" s="1"/>
  <c r="AQ289" i="28"/>
  <c r="U289" i="28"/>
  <c r="X289" i="28"/>
  <c r="S289" i="28"/>
  <c r="W289" i="28"/>
  <c r="Y289" i="28"/>
  <c r="AC289" i="28"/>
  <c r="AA289" i="28"/>
  <c r="AB289" i="28"/>
  <c r="AD289" i="28"/>
  <c r="Z289" i="28"/>
  <c r="AM289" i="25"/>
  <c r="DL289" i="25" s="1"/>
  <c r="X289" i="25"/>
  <c r="AQ289" i="25"/>
  <c r="S289" i="25"/>
  <c r="U289" i="25"/>
  <c r="W289" i="25"/>
  <c r="Y289" i="25"/>
  <c r="AA289" i="25"/>
  <c r="AB289" i="25"/>
  <c r="AC289" i="25"/>
  <c r="Z289" i="25"/>
  <c r="AD289" i="25"/>
  <c r="AM289" i="27"/>
  <c r="DL289" i="27" s="1"/>
  <c r="X289" i="27"/>
  <c r="AQ289" i="27"/>
  <c r="S289" i="27"/>
  <c r="U289" i="27"/>
  <c r="W289" i="27"/>
  <c r="AB289" i="27"/>
  <c r="Y289" i="27"/>
  <c r="AC289" i="27"/>
  <c r="AA289" i="27"/>
  <c r="Z289" i="27"/>
  <c r="AD289" i="27"/>
  <c r="AM289" i="20"/>
  <c r="DL289" i="20" s="1"/>
  <c r="U289" i="20"/>
  <c r="W289" i="20"/>
  <c r="AQ289" i="20"/>
  <c r="S289" i="20"/>
  <c r="X289" i="20"/>
  <c r="Y289" i="20"/>
  <c r="AA289" i="20"/>
  <c r="AB289" i="20"/>
  <c r="AC289" i="20"/>
  <c r="Z289" i="20"/>
  <c r="AD289" i="20"/>
  <c r="AI288" i="22"/>
  <c r="AH290" i="3"/>
  <c r="AJ290" i="3" s="1"/>
  <c r="A291" i="3"/>
  <c r="R290" i="3"/>
  <c r="P290" i="3"/>
  <c r="BC290" i="3" s="1"/>
  <c r="AW290" i="3"/>
  <c r="AM289" i="21"/>
  <c r="DL289" i="21" s="1"/>
  <c r="X289" i="21"/>
  <c r="S289" i="21"/>
  <c r="AQ289" i="21"/>
  <c r="U289" i="21"/>
  <c r="W289" i="21"/>
  <c r="AB289" i="21"/>
  <c r="Y289" i="21"/>
  <c r="AC289" i="21"/>
  <c r="AA289" i="21"/>
  <c r="Z289" i="21"/>
  <c r="AD289" i="21"/>
  <c r="R290" i="29"/>
  <c r="AH290" i="29"/>
  <c r="AJ290" i="29" s="1"/>
  <c r="A291" i="29"/>
  <c r="P290" i="29"/>
  <c r="BC290" i="29" s="1"/>
  <c r="AW290" i="29"/>
  <c r="AI288" i="20"/>
  <c r="AH289" i="19"/>
  <c r="AJ289" i="19" s="1"/>
  <c r="A290" i="19"/>
  <c r="R289" i="19"/>
  <c r="P289" i="19"/>
  <c r="BC289" i="19" s="1"/>
  <c r="AW289" i="19"/>
  <c r="AI288" i="23"/>
  <c r="R290" i="27"/>
  <c r="AH290" i="27"/>
  <c r="AJ290" i="27" s="1"/>
  <c r="A291" i="27"/>
  <c r="AW290" i="27"/>
  <c r="P290" i="27"/>
  <c r="BC290" i="27" s="1"/>
  <c r="R290" i="20"/>
  <c r="AH290" i="20"/>
  <c r="AJ290" i="20" s="1"/>
  <c r="A291" i="20"/>
  <c r="P290" i="20"/>
  <c r="BC290" i="20" s="1"/>
  <c r="AW290" i="20"/>
  <c r="AI288" i="26"/>
  <c r="AM289" i="22"/>
  <c r="DL289" i="22" s="1"/>
  <c r="U289" i="22"/>
  <c r="S289" i="22"/>
  <c r="X289" i="22"/>
  <c r="AQ289" i="22"/>
  <c r="W289" i="22"/>
  <c r="AC289" i="22"/>
  <c r="AA289" i="22"/>
  <c r="Y289" i="22"/>
  <c r="AB289" i="22"/>
  <c r="AD289" i="22"/>
  <c r="Z289" i="22"/>
  <c r="R290" i="22"/>
  <c r="AH290" i="22"/>
  <c r="AJ290" i="22" s="1"/>
  <c r="A291" i="22"/>
  <c r="P290" i="22"/>
  <c r="BC290" i="22" s="1"/>
  <c r="AW290" i="22"/>
  <c r="AM289" i="29"/>
  <c r="DL289" i="29" s="1"/>
  <c r="U289" i="29"/>
  <c r="W289" i="29"/>
  <c r="X289" i="29"/>
  <c r="AQ289" i="29"/>
  <c r="S289" i="29"/>
  <c r="AB289" i="29"/>
  <c r="Y289" i="29"/>
  <c r="AC289" i="29"/>
  <c r="AA289" i="29"/>
  <c r="Z289" i="29"/>
  <c r="AD289" i="29"/>
  <c r="AH290" i="23"/>
  <c r="AJ290" i="23" s="1"/>
  <c r="A291" i="23"/>
  <c r="R290" i="23"/>
  <c r="P290" i="23"/>
  <c r="BC290" i="23" s="1"/>
  <c r="AW290" i="23"/>
  <c r="AM288" i="19"/>
  <c r="DL288" i="19" s="1"/>
  <c r="S288" i="19"/>
  <c r="AQ288" i="19"/>
  <c r="U288" i="19"/>
  <c r="X288" i="19"/>
  <c r="W288" i="19"/>
  <c r="AC288" i="19"/>
  <c r="Y288" i="19"/>
  <c r="AB288" i="19"/>
  <c r="AA288" i="19"/>
  <c r="AD288" i="19"/>
  <c r="Z288" i="19"/>
  <c r="AM289" i="26"/>
  <c r="DL289" i="26" s="1"/>
  <c r="W289" i="26"/>
  <c r="U289" i="26"/>
  <c r="X289" i="26"/>
  <c r="AQ289" i="26"/>
  <c r="S289" i="26"/>
  <c r="AA289" i="26"/>
  <c r="Y289" i="26"/>
  <c r="AC289" i="26"/>
  <c r="AB289" i="26"/>
  <c r="AD289" i="26"/>
  <c r="Z289" i="26"/>
  <c r="AM289" i="3"/>
  <c r="DL289" i="3" s="1"/>
  <c r="U289" i="3"/>
  <c r="W289" i="3"/>
  <c r="X289" i="3"/>
  <c r="S289" i="3"/>
  <c r="AQ289" i="3"/>
  <c r="Y289" i="3"/>
  <c r="AA289" i="3"/>
  <c r="AB289" i="3"/>
  <c r="AC289" i="3"/>
  <c r="AD289" i="3"/>
  <c r="Z289" i="3"/>
  <c r="AM289" i="24"/>
  <c r="DL289" i="24" s="1"/>
  <c r="U289" i="24"/>
  <c r="AQ289" i="24"/>
  <c r="W289" i="24"/>
  <c r="S289" i="24"/>
  <c r="X289" i="24"/>
  <c r="AA289" i="24"/>
  <c r="Y289" i="24"/>
  <c r="AC289" i="24"/>
  <c r="AB289" i="24"/>
  <c r="Z289" i="24"/>
  <c r="AD289" i="24"/>
  <c r="AI287" i="19"/>
  <c r="R290" i="26"/>
  <c r="AH290" i="26"/>
  <c r="AJ290" i="26" s="1"/>
  <c r="A291" i="26"/>
  <c r="P290" i="26"/>
  <c r="BC290" i="26" s="1"/>
  <c r="AW290" i="26"/>
  <c r="AL283" i="3" l="1"/>
  <c r="AN283" i="3" s="1"/>
  <c r="AK284" i="3"/>
  <c r="AP282" i="3"/>
  <c r="AR282" i="3" s="1"/>
  <c r="AO282" i="3"/>
  <c r="AI289" i="26"/>
  <c r="AI289" i="29"/>
  <c r="AI289" i="27"/>
  <c r="AI289" i="3"/>
  <c r="AI289" i="23"/>
  <c r="AM290" i="26"/>
  <c r="DL290" i="26" s="1"/>
  <c r="W290" i="26"/>
  <c r="S290" i="26"/>
  <c r="U290" i="26"/>
  <c r="X290" i="26"/>
  <c r="AQ290" i="26"/>
  <c r="Y290" i="26"/>
  <c r="AC290" i="26"/>
  <c r="AA290" i="26"/>
  <c r="AB290" i="26"/>
  <c r="AD290" i="26"/>
  <c r="Z290" i="26"/>
  <c r="R291" i="27"/>
  <c r="AH291" i="27"/>
  <c r="AJ291" i="27" s="1"/>
  <c r="A292" i="27"/>
  <c r="P291" i="27"/>
  <c r="BC291" i="27" s="1"/>
  <c r="AW291" i="27"/>
  <c r="A291" i="19"/>
  <c r="R290" i="19"/>
  <c r="AH290" i="19"/>
  <c r="AJ290" i="19" s="1"/>
  <c r="P290" i="19"/>
  <c r="BC290" i="19" s="1"/>
  <c r="AW290" i="19"/>
  <c r="AM290" i="29"/>
  <c r="DL290" i="29" s="1"/>
  <c r="X290" i="29"/>
  <c r="W290" i="29"/>
  <c r="AQ290" i="29"/>
  <c r="S290" i="29"/>
  <c r="U290" i="29"/>
  <c r="AA290" i="29"/>
  <c r="AB290" i="29"/>
  <c r="AC290" i="29"/>
  <c r="Y290" i="29"/>
  <c r="AD290" i="29"/>
  <c r="Z290" i="29"/>
  <c r="AM290" i="3"/>
  <c r="DL290" i="3" s="1"/>
  <c r="U290" i="3"/>
  <c r="W290" i="3"/>
  <c r="X290" i="3"/>
  <c r="AQ290" i="3"/>
  <c r="S290" i="3"/>
  <c r="Y290" i="3"/>
  <c r="AA290" i="3"/>
  <c r="AB290" i="3"/>
  <c r="AC290" i="3"/>
  <c r="Z290" i="3"/>
  <c r="AD290" i="3"/>
  <c r="AI289" i="28"/>
  <c r="AM290" i="21"/>
  <c r="DL290" i="21" s="1"/>
  <c r="U290" i="21"/>
  <c r="X290" i="21"/>
  <c r="W290" i="21"/>
  <c r="AQ290" i="21"/>
  <c r="S290" i="21"/>
  <c r="AB290" i="21"/>
  <c r="Y290" i="21"/>
  <c r="AC290" i="21"/>
  <c r="AA290" i="21"/>
  <c r="AD290" i="21"/>
  <c r="Z290" i="21"/>
  <c r="AI289" i="22"/>
  <c r="R291" i="20"/>
  <c r="AH291" i="20"/>
  <c r="AJ291" i="20" s="1"/>
  <c r="A292" i="20"/>
  <c r="P291" i="20"/>
  <c r="BC291" i="20" s="1"/>
  <c r="AW291" i="20"/>
  <c r="AM290" i="27"/>
  <c r="DL290" i="27" s="1"/>
  <c r="U290" i="27"/>
  <c r="X290" i="27"/>
  <c r="W290" i="27"/>
  <c r="S290" i="27"/>
  <c r="AQ290" i="27"/>
  <c r="AA290" i="27"/>
  <c r="AC290" i="27"/>
  <c r="Y290" i="27"/>
  <c r="AB290" i="27"/>
  <c r="AD290" i="27"/>
  <c r="Z290" i="27"/>
  <c r="AI289" i="21"/>
  <c r="AI289" i="24"/>
  <c r="A292" i="28"/>
  <c r="R291" i="28"/>
  <c r="AH291" i="28"/>
  <c r="AJ291" i="28" s="1"/>
  <c r="P291" i="28"/>
  <c r="BC291" i="28" s="1"/>
  <c r="AW291" i="28"/>
  <c r="AM290" i="22"/>
  <c r="DL290" i="22" s="1"/>
  <c r="U290" i="22"/>
  <c r="X290" i="22"/>
  <c r="W290" i="22"/>
  <c r="S290" i="22"/>
  <c r="AQ290" i="22"/>
  <c r="AA290" i="22"/>
  <c r="Y290" i="22"/>
  <c r="AB290" i="22"/>
  <c r="AC290" i="22"/>
  <c r="AD290" i="22"/>
  <c r="Z290" i="22"/>
  <c r="A292" i="3"/>
  <c r="R291" i="3"/>
  <c r="AH291" i="3"/>
  <c r="AJ291" i="3" s="1"/>
  <c r="AW291" i="3"/>
  <c r="P291" i="3"/>
  <c r="BC291" i="3" s="1"/>
  <c r="AM290" i="20"/>
  <c r="DL290" i="20" s="1"/>
  <c r="X290" i="20"/>
  <c r="S290" i="20"/>
  <c r="U290" i="20"/>
  <c r="AQ290" i="20"/>
  <c r="W290" i="20"/>
  <c r="AC290" i="20"/>
  <c r="Y290" i="20"/>
  <c r="AA290" i="20"/>
  <c r="AB290" i="20"/>
  <c r="AD290" i="20"/>
  <c r="Z290" i="20"/>
  <c r="AI289" i="25"/>
  <c r="AM290" i="28"/>
  <c r="DL290" i="28" s="1"/>
  <c r="X290" i="28"/>
  <c r="S290" i="28"/>
  <c r="AQ290" i="28"/>
  <c r="W290" i="28"/>
  <c r="U290" i="28"/>
  <c r="AC290" i="28"/>
  <c r="AA290" i="28"/>
  <c r="Y290" i="28"/>
  <c r="AB290" i="28"/>
  <c r="AD290" i="28"/>
  <c r="Z290" i="28"/>
  <c r="A292" i="24"/>
  <c r="R291" i="24"/>
  <c r="AH291" i="24"/>
  <c r="AJ291" i="24" s="1"/>
  <c r="P291" i="24"/>
  <c r="BC291" i="24" s="1"/>
  <c r="AW291" i="24"/>
  <c r="AM290" i="23"/>
  <c r="DL290" i="23" s="1"/>
  <c r="W290" i="23"/>
  <c r="U290" i="23"/>
  <c r="X290" i="23"/>
  <c r="S290" i="23"/>
  <c r="AQ290" i="23"/>
  <c r="AA290" i="23"/>
  <c r="Y290" i="23"/>
  <c r="AB290" i="23"/>
  <c r="AC290" i="23"/>
  <c r="AD290" i="23"/>
  <c r="Z290" i="23"/>
  <c r="AI289" i="20"/>
  <c r="AI288" i="19"/>
  <c r="A292" i="23"/>
  <c r="R291" i="23"/>
  <c r="AH291" i="23"/>
  <c r="AJ291" i="23" s="1"/>
  <c r="P291" i="23"/>
  <c r="BC291" i="23" s="1"/>
  <c r="AW291" i="23"/>
  <c r="AH291" i="29"/>
  <c r="AJ291" i="29" s="1"/>
  <c r="A292" i="29"/>
  <c r="R291" i="29"/>
  <c r="P291" i="29"/>
  <c r="BC291" i="29" s="1"/>
  <c r="AW291" i="29"/>
  <c r="AM290" i="25"/>
  <c r="DL290" i="25" s="1"/>
  <c r="S290" i="25"/>
  <c r="AQ290" i="25"/>
  <c r="U290" i="25"/>
  <c r="W290" i="25"/>
  <c r="X290" i="25"/>
  <c r="AB290" i="25"/>
  <c r="AC290" i="25"/>
  <c r="Y290" i="25"/>
  <c r="AA290" i="25"/>
  <c r="AD290" i="25"/>
  <c r="Z290" i="25"/>
  <c r="A292" i="26"/>
  <c r="R291" i="26"/>
  <c r="AH291" i="26"/>
  <c r="AJ291" i="26" s="1"/>
  <c r="AW291" i="26"/>
  <c r="P291" i="26"/>
  <c r="BC291" i="26" s="1"/>
  <c r="AH291" i="22"/>
  <c r="AJ291" i="22" s="1"/>
  <c r="A292" i="22"/>
  <c r="R291" i="22"/>
  <c r="P291" i="22"/>
  <c r="BC291" i="22" s="1"/>
  <c r="AW291" i="22"/>
  <c r="AM289" i="19"/>
  <c r="DL289" i="19" s="1"/>
  <c r="W289" i="19"/>
  <c r="U289" i="19"/>
  <c r="X289" i="19"/>
  <c r="AQ289" i="19"/>
  <c r="S289" i="19"/>
  <c r="Y289" i="19"/>
  <c r="AB289" i="19"/>
  <c r="AA289" i="19"/>
  <c r="AC289" i="19"/>
  <c r="Z289" i="19"/>
  <c r="AD289" i="19"/>
  <c r="A292" i="21"/>
  <c r="R291" i="21"/>
  <c r="AH291" i="21"/>
  <c r="AJ291" i="21" s="1"/>
  <c r="AW291" i="21"/>
  <c r="P291" i="21"/>
  <c r="BC291" i="21" s="1"/>
  <c r="R291" i="25"/>
  <c r="AH291" i="25"/>
  <c r="AJ291" i="25" s="1"/>
  <c r="A292" i="25"/>
  <c r="AW291" i="25"/>
  <c r="P291" i="25"/>
  <c r="BC291" i="25" s="1"/>
  <c r="AM290" i="24"/>
  <c r="DL290" i="24" s="1"/>
  <c r="U290" i="24"/>
  <c r="W290" i="24"/>
  <c r="S290" i="24"/>
  <c r="X290" i="24"/>
  <c r="AQ290" i="24"/>
  <c r="AA290" i="24"/>
  <c r="AB290" i="24"/>
  <c r="AC290" i="24"/>
  <c r="Y290" i="24"/>
  <c r="AD290" i="24"/>
  <c r="Z290" i="24"/>
  <c r="AL284" i="3" l="1"/>
  <c r="AN284" i="3" s="1"/>
  <c r="AK285" i="3"/>
  <c r="AP283" i="3"/>
  <c r="AR283" i="3" s="1"/>
  <c r="AO283" i="3"/>
  <c r="AI290" i="24"/>
  <c r="AI290" i="21"/>
  <c r="AI290" i="3"/>
  <c r="AI290" i="27"/>
  <c r="AI290" i="25"/>
  <c r="AI290" i="23"/>
  <c r="AI290" i="28"/>
  <c r="R292" i="25"/>
  <c r="AH292" i="25"/>
  <c r="AJ292" i="25" s="1"/>
  <c r="A293" i="25"/>
  <c r="AW292" i="25"/>
  <c r="P292" i="25"/>
  <c r="BC292" i="25" s="1"/>
  <c r="R292" i="21"/>
  <c r="AH292" i="21"/>
  <c r="AJ292" i="21" s="1"/>
  <c r="A293" i="21"/>
  <c r="AW292" i="21"/>
  <c r="P292" i="21"/>
  <c r="BC292" i="21" s="1"/>
  <c r="AM291" i="22"/>
  <c r="DL291" i="22" s="1"/>
  <c r="AQ291" i="22"/>
  <c r="S291" i="22"/>
  <c r="X291" i="22"/>
  <c r="U291" i="22"/>
  <c r="W291" i="22"/>
  <c r="AC291" i="22"/>
  <c r="Y291" i="22"/>
  <c r="AB291" i="22"/>
  <c r="AA291" i="22"/>
  <c r="AD291" i="22"/>
  <c r="Z291" i="22"/>
  <c r="R292" i="26"/>
  <c r="AH292" i="26"/>
  <c r="AJ292" i="26" s="1"/>
  <c r="A293" i="26"/>
  <c r="AW292" i="26"/>
  <c r="P292" i="26"/>
  <c r="BC292" i="26" s="1"/>
  <c r="AM291" i="29"/>
  <c r="DL291" i="29" s="1"/>
  <c r="W291" i="29"/>
  <c r="X291" i="29"/>
  <c r="U291" i="29"/>
  <c r="AQ291" i="29"/>
  <c r="S291" i="29"/>
  <c r="AA291" i="29"/>
  <c r="AB291" i="29"/>
  <c r="Y291" i="29"/>
  <c r="AC291" i="29"/>
  <c r="AD291" i="29"/>
  <c r="Z291" i="29"/>
  <c r="R292" i="23"/>
  <c r="AH292" i="23"/>
  <c r="AJ292" i="23" s="1"/>
  <c r="A293" i="23"/>
  <c r="AW292" i="23"/>
  <c r="P292" i="23"/>
  <c r="BC292" i="23" s="1"/>
  <c r="AM291" i="20"/>
  <c r="DL291" i="20" s="1"/>
  <c r="W291" i="20"/>
  <c r="S291" i="20"/>
  <c r="AQ291" i="20"/>
  <c r="X291" i="20"/>
  <c r="U291" i="20"/>
  <c r="AA291" i="20"/>
  <c r="AB291" i="20"/>
  <c r="AC291" i="20"/>
  <c r="Y291" i="20"/>
  <c r="AD291" i="20"/>
  <c r="Z291" i="20"/>
  <c r="A293" i="27"/>
  <c r="R292" i="27"/>
  <c r="AH292" i="27"/>
  <c r="AJ292" i="27" s="1"/>
  <c r="P292" i="27"/>
  <c r="BC292" i="27" s="1"/>
  <c r="AW292" i="27"/>
  <c r="AM291" i="25"/>
  <c r="DL291" i="25" s="1"/>
  <c r="X291" i="25"/>
  <c r="W291" i="25"/>
  <c r="U291" i="25"/>
  <c r="AQ291" i="25"/>
  <c r="S291" i="25"/>
  <c r="AB291" i="25"/>
  <c r="Y291" i="25"/>
  <c r="AC291" i="25"/>
  <c r="AA291" i="25"/>
  <c r="Z291" i="25"/>
  <c r="AD291" i="25"/>
  <c r="AI289" i="19"/>
  <c r="AI290" i="20"/>
  <c r="AM291" i="3"/>
  <c r="DL291" i="3" s="1"/>
  <c r="U291" i="3"/>
  <c r="W291" i="3"/>
  <c r="X291" i="3"/>
  <c r="S291" i="3"/>
  <c r="AQ291" i="3"/>
  <c r="Y291" i="3"/>
  <c r="AC291" i="3"/>
  <c r="AB291" i="3"/>
  <c r="AA291" i="3"/>
  <c r="AD291" i="3"/>
  <c r="Z291" i="3"/>
  <c r="AM291" i="24"/>
  <c r="DL291" i="24" s="1"/>
  <c r="S291" i="24"/>
  <c r="AQ291" i="24"/>
  <c r="U291" i="24"/>
  <c r="X291" i="24"/>
  <c r="W291" i="24"/>
  <c r="Y291" i="24"/>
  <c r="AC291" i="24"/>
  <c r="AB291" i="24"/>
  <c r="AA291" i="24"/>
  <c r="Z291" i="24"/>
  <c r="AD291" i="24"/>
  <c r="R292" i="3"/>
  <c r="AH292" i="3"/>
  <c r="AJ292" i="3" s="1"/>
  <c r="A293" i="3"/>
  <c r="AW292" i="3"/>
  <c r="P292" i="3"/>
  <c r="BC292" i="3" s="1"/>
  <c r="AM291" i="27"/>
  <c r="DL291" i="27" s="1"/>
  <c r="AQ291" i="27"/>
  <c r="S291" i="27"/>
  <c r="W291" i="27"/>
  <c r="X291" i="27"/>
  <c r="U291" i="27"/>
  <c r="Y291" i="27"/>
  <c r="AB291" i="27"/>
  <c r="AA291" i="27"/>
  <c r="AC291" i="27"/>
  <c r="AD291" i="27"/>
  <c r="Z291" i="27"/>
  <c r="A293" i="22"/>
  <c r="R292" i="22"/>
  <c r="AH292" i="22"/>
  <c r="AJ292" i="22" s="1"/>
  <c r="P292" i="22"/>
  <c r="BC292" i="22" s="1"/>
  <c r="AW292" i="22"/>
  <c r="A293" i="29"/>
  <c r="R292" i="29"/>
  <c r="AH292" i="29"/>
  <c r="AJ292" i="29" s="1"/>
  <c r="AW292" i="29"/>
  <c r="P292" i="29"/>
  <c r="BC292" i="29" s="1"/>
  <c r="R292" i="24"/>
  <c r="AH292" i="24"/>
  <c r="AJ292" i="24" s="1"/>
  <c r="A293" i="24"/>
  <c r="AW292" i="24"/>
  <c r="P292" i="24"/>
  <c r="BC292" i="24" s="1"/>
  <c r="AI290" i="22"/>
  <c r="AM291" i="28"/>
  <c r="DL291" i="28" s="1"/>
  <c r="S291" i="28"/>
  <c r="W291" i="28"/>
  <c r="AQ291" i="28"/>
  <c r="X291" i="28"/>
  <c r="U291" i="28"/>
  <c r="AA291" i="28"/>
  <c r="AB291" i="28"/>
  <c r="AC291" i="28"/>
  <c r="Y291" i="28"/>
  <c r="Z291" i="28"/>
  <c r="AD291" i="28"/>
  <c r="AI290" i="29"/>
  <c r="AM290" i="19"/>
  <c r="DL290" i="19" s="1"/>
  <c r="U290" i="19"/>
  <c r="X290" i="19"/>
  <c r="W290" i="19"/>
  <c r="S290" i="19"/>
  <c r="AQ290" i="19"/>
  <c r="Y290" i="19"/>
  <c r="AC290" i="19"/>
  <c r="AA290" i="19"/>
  <c r="AB290" i="19"/>
  <c r="AD290" i="19"/>
  <c r="Z290" i="19"/>
  <c r="AI290" i="26"/>
  <c r="R291" i="19"/>
  <c r="AH291" i="19"/>
  <c r="AJ291" i="19" s="1"/>
  <c r="A292" i="19"/>
  <c r="P291" i="19"/>
  <c r="BC291" i="19" s="1"/>
  <c r="AW291" i="19"/>
  <c r="R292" i="28"/>
  <c r="AH292" i="28"/>
  <c r="AJ292" i="28" s="1"/>
  <c r="A293" i="28"/>
  <c r="AW292" i="28"/>
  <c r="P292" i="28"/>
  <c r="BC292" i="28" s="1"/>
  <c r="AM291" i="21"/>
  <c r="DL291" i="21" s="1"/>
  <c r="W291" i="21"/>
  <c r="S291" i="21"/>
  <c r="U291" i="21"/>
  <c r="X291" i="21"/>
  <c r="AQ291" i="21"/>
  <c r="AA291" i="21"/>
  <c r="AC291" i="21"/>
  <c r="AB291" i="21"/>
  <c r="Y291" i="21"/>
  <c r="Z291" i="21"/>
  <c r="AD291" i="21"/>
  <c r="AM291" i="26"/>
  <c r="DL291" i="26" s="1"/>
  <c r="U291" i="26"/>
  <c r="AQ291" i="26"/>
  <c r="X291" i="26"/>
  <c r="W291" i="26"/>
  <c r="S291" i="26"/>
  <c r="Y291" i="26"/>
  <c r="AB291" i="26"/>
  <c r="AA291" i="26"/>
  <c r="AC291" i="26"/>
  <c r="Z291" i="26"/>
  <c r="AD291" i="26"/>
  <c r="AM291" i="23"/>
  <c r="DL291" i="23" s="1"/>
  <c r="W291" i="23"/>
  <c r="AQ291" i="23"/>
  <c r="U291" i="23"/>
  <c r="X291" i="23"/>
  <c r="S291" i="23"/>
  <c r="AB291" i="23"/>
  <c r="Y291" i="23"/>
  <c r="AA291" i="23"/>
  <c r="AC291" i="23"/>
  <c r="AD291" i="23"/>
  <c r="Z291" i="23"/>
  <c r="A293" i="20"/>
  <c r="R292" i="20"/>
  <c r="AH292" i="20"/>
  <c r="AJ292" i="20" s="1"/>
  <c r="AW292" i="20"/>
  <c r="P292" i="20"/>
  <c r="BC292" i="20" s="1"/>
  <c r="AL285" i="3" l="1"/>
  <c r="AN285" i="3" s="1"/>
  <c r="AK286" i="3"/>
  <c r="AP284" i="3"/>
  <c r="AR284" i="3" s="1"/>
  <c r="AO284" i="3"/>
  <c r="AI291" i="22"/>
  <c r="AI290" i="19"/>
  <c r="AI291" i="28"/>
  <c r="AI291" i="25"/>
  <c r="AI291" i="23"/>
  <c r="AI291" i="27"/>
  <c r="AI291" i="24"/>
  <c r="AH293" i="28"/>
  <c r="AJ293" i="28" s="1"/>
  <c r="A294" i="28"/>
  <c r="R293" i="28"/>
  <c r="AW293" i="28"/>
  <c r="P293" i="28"/>
  <c r="BC293" i="28" s="1"/>
  <c r="AM291" i="19"/>
  <c r="DL291" i="19" s="1"/>
  <c r="W291" i="19"/>
  <c r="U291" i="19"/>
  <c r="X291" i="19"/>
  <c r="S291" i="19"/>
  <c r="AQ291" i="19"/>
  <c r="AB291" i="19"/>
  <c r="AC291" i="19"/>
  <c r="Y291" i="19"/>
  <c r="AA291" i="19"/>
  <c r="Z291" i="19"/>
  <c r="AD291" i="19"/>
  <c r="AM292" i="24"/>
  <c r="DL292" i="24" s="1"/>
  <c r="S292" i="24"/>
  <c r="AQ292" i="24"/>
  <c r="W292" i="24"/>
  <c r="U292" i="24"/>
  <c r="X292" i="24"/>
  <c r="AA292" i="24"/>
  <c r="Y292" i="24"/>
  <c r="AC292" i="24"/>
  <c r="AB292" i="24"/>
  <c r="AD292" i="24"/>
  <c r="Z292" i="24"/>
  <c r="AM292" i="21"/>
  <c r="DL292" i="21" s="1"/>
  <c r="AQ292" i="21"/>
  <c r="U292" i="21"/>
  <c r="W292" i="21"/>
  <c r="X292" i="21"/>
  <c r="S292" i="21"/>
  <c r="AC292" i="21"/>
  <c r="AB292" i="21"/>
  <c r="AA292" i="21"/>
  <c r="Y292" i="21"/>
  <c r="AD292" i="21"/>
  <c r="Z292" i="21"/>
  <c r="AI291" i="21"/>
  <c r="AM292" i="28"/>
  <c r="DL292" i="28" s="1"/>
  <c r="X292" i="28"/>
  <c r="AQ292" i="28"/>
  <c r="U292" i="28"/>
  <c r="W292" i="28"/>
  <c r="S292" i="28"/>
  <c r="AA292" i="28"/>
  <c r="AC292" i="28"/>
  <c r="AB292" i="28"/>
  <c r="Y292" i="28"/>
  <c r="Z292" i="28"/>
  <c r="AD292" i="28"/>
  <c r="AM292" i="27"/>
  <c r="DL292" i="27" s="1"/>
  <c r="U292" i="27"/>
  <c r="X292" i="27"/>
  <c r="W292" i="27"/>
  <c r="S292" i="27"/>
  <c r="AQ292" i="27"/>
  <c r="AA292" i="27"/>
  <c r="AC292" i="27"/>
  <c r="Y292" i="27"/>
  <c r="AB292" i="27"/>
  <c r="AD292" i="27"/>
  <c r="Z292" i="27"/>
  <c r="R293" i="27"/>
  <c r="AH293" i="27"/>
  <c r="AJ293" i="27" s="1"/>
  <c r="A294" i="27"/>
  <c r="P293" i="27"/>
  <c r="BC293" i="27" s="1"/>
  <c r="AW293" i="27"/>
  <c r="A294" i="23"/>
  <c r="R293" i="23"/>
  <c r="AH293" i="23"/>
  <c r="AJ293" i="23" s="1"/>
  <c r="P293" i="23"/>
  <c r="BC293" i="23" s="1"/>
  <c r="AW293" i="23"/>
  <c r="AM292" i="22"/>
  <c r="DL292" i="22" s="1"/>
  <c r="S292" i="22"/>
  <c r="X292" i="22"/>
  <c r="AQ292" i="22"/>
  <c r="W292" i="22"/>
  <c r="U292" i="22"/>
  <c r="AB292" i="22"/>
  <c r="AA292" i="22"/>
  <c r="AC292" i="22"/>
  <c r="Y292" i="22"/>
  <c r="Z292" i="22"/>
  <c r="AD292" i="22"/>
  <c r="AI291" i="3"/>
  <c r="AI291" i="20"/>
  <c r="R293" i="22"/>
  <c r="AH293" i="22"/>
  <c r="AJ293" i="22" s="1"/>
  <c r="A294" i="22"/>
  <c r="P293" i="22"/>
  <c r="BC293" i="22" s="1"/>
  <c r="AW293" i="22"/>
  <c r="A294" i="3"/>
  <c r="R293" i="3"/>
  <c r="AH293" i="3"/>
  <c r="AJ293" i="3" s="1"/>
  <c r="P293" i="3"/>
  <c r="BC293" i="3" s="1"/>
  <c r="AW293" i="3"/>
  <c r="AM292" i="23"/>
  <c r="DL292" i="23" s="1"/>
  <c r="S292" i="23"/>
  <c r="X292" i="23"/>
  <c r="U292" i="23"/>
  <c r="AQ292" i="23"/>
  <c r="W292" i="23"/>
  <c r="Y292" i="23"/>
  <c r="AA292" i="23"/>
  <c r="AC292" i="23"/>
  <c r="AB292" i="23"/>
  <c r="AD292" i="23"/>
  <c r="Z292" i="23"/>
  <c r="R293" i="26"/>
  <c r="AH293" i="26"/>
  <c r="AJ293" i="26" s="1"/>
  <c r="A294" i="26"/>
  <c r="P293" i="26"/>
  <c r="BC293" i="26" s="1"/>
  <c r="AW293" i="26"/>
  <c r="A294" i="25"/>
  <c r="R293" i="25"/>
  <c r="AH293" i="25"/>
  <c r="AJ293" i="25" s="1"/>
  <c r="AW293" i="25"/>
  <c r="P293" i="25"/>
  <c r="BC293" i="25" s="1"/>
  <c r="R293" i="20"/>
  <c r="AH293" i="20"/>
  <c r="AJ293" i="20" s="1"/>
  <c r="A294" i="20"/>
  <c r="P293" i="20"/>
  <c r="BC293" i="20" s="1"/>
  <c r="AW293" i="20"/>
  <c r="A293" i="19"/>
  <c r="R292" i="19"/>
  <c r="AH292" i="19"/>
  <c r="AJ292" i="19" s="1"/>
  <c r="P292" i="19"/>
  <c r="BC292" i="19" s="1"/>
  <c r="AW292" i="19"/>
  <c r="AM292" i="29"/>
  <c r="DL292" i="29" s="1"/>
  <c r="X292" i="29"/>
  <c r="W292" i="29"/>
  <c r="S292" i="29"/>
  <c r="AQ292" i="29"/>
  <c r="U292" i="29"/>
  <c r="AA292" i="29"/>
  <c r="Y292" i="29"/>
  <c r="AC292" i="29"/>
  <c r="AB292" i="29"/>
  <c r="Z292" i="29"/>
  <c r="AD292" i="29"/>
  <c r="AI291" i="29"/>
  <c r="AI291" i="26"/>
  <c r="AM292" i="20"/>
  <c r="DL292" i="20" s="1"/>
  <c r="W292" i="20"/>
  <c r="X292" i="20"/>
  <c r="S292" i="20"/>
  <c r="U292" i="20"/>
  <c r="AQ292" i="20"/>
  <c r="Y292" i="20"/>
  <c r="AC292" i="20"/>
  <c r="AA292" i="20"/>
  <c r="AB292" i="20"/>
  <c r="AD292" i="20"/>
  <c r="Z292" i="20"/>
  <c r="R293" i="24"/>
  <c r="AH293" i="24"/>
  <c r="AJ293" i="24" s="1"/>
  <c r="A294" i="24"/>
  <c r="AW293" i="24"/>
  <c r="P293" i="24"/>
  <c r="BC293" i="24" s="1"/>
  <c r="AH293" i="29"/>
  <c r="AJ293" i="29" s="1"/>
  <c r="A294" i="29"/>
  <c r="R293" i="29"/>
  <c r="P293" i="29"/>
  <c r="BC293" i="29" s="1"/>
  <c r="AW293" i="29"/>
  <c r="AM292" i="3"/>
  <c r="DL292" i="3" s="1"/>
  <c r="U292" i="3"/>
  <c r="W292" i="3"/>
  <c r="X292" i="3"/>
  <c r="AQ292" i="3"/>
  <c r="S292" i="3"/>
  <c r="Y292" i="3"/>
  <c r="AB292" i="3"/>
  <c r="AA292" i="3"/>
  <c r="AC292" i="3"/>
  <c r="AD292" i="3"/>
  <c r="Z292" i="3"/>
  <c r="AM292" i="26"/>
  <c r="DL292" i="26" s="1"/>
  <c r="S292" i="26"/>
  <c r="W292" i="26"/>
  <c r="U292" i="26"/>
  <c r="AQ292" i="26"/>
  <c r="X292" i="26"/>
  <c r="AB292" i="26"/>
  <c r="Y292" i="26"/>
  <c r="AC292" i="26"/>
  <c r="AA292" i="26"/>
  <c r="Z292" i="26"/>
  <c r="AD292" i="26"/>
  <c r="AH293" i="21"/>
  <c r="AJ293" i="21" s="1"/>
  <c r="A294" i="21"/>
  <c r="R293" i="21"/>
  <c r="AW293" i="21"/>
  <c r="P293" i="21"/>
  <c r="BC293" i="21" s="1"/>
  <c r="AM292" i="25"/>
  <c r="DL292" i="25" s="1"/>
  <c r="X292" i="25"/>
  <c r="W292" i="25"/>
  <c r="AQ292" i="25"/>
  <c r="S292" i="25"/>
  <c r="U292" i="25"/>
  <c r="Y292" i="25"/>
  <c r="AB292" i="25"/>
  <c r="AC292" i="25"/>
  <c r="AA292" i="25"/>
  <c r="Z292" i="25"/>
  <c r="AD292" i="25"/>
  <c r="AL286" i="3" l="1"/>
  <c r="AN286" i="3" s="1"/>
  <c r="AK287" i="3"/>
  <c r="AP285" i="3"/>
  <c r="AR285" i="3" s="1"/>
  <c r="AO285" i="3"/>
  <c r="A46" i="4"/>
  <c r="AI292" i="29"/>
  <c r="AI292" i="28"/>
  <c r="AI292" i="24"/>
  <c r="AI292" i="22"/>
  <c r="AI292" i="20"/>
  <c r="AI292" i="3"/>
  <c r="AM293" i="29"/>
  <c r="DL293" i="29" s="1"/>
  <c r="W293" i="29"/>
  <c r="AQ293" i="29"/>
  <c r="U293" i="29"/>
  <c r="X293" i="29"/>
  <c r="S293" i="29"/>
  <c r="AB293" i="29"/>
  <c r="AC293" i="29"/>
  <c r="AA293" i="29"/>
  <c r="Y293" i="29"/>
  <c r="Z293" i="29"/>
  <c r="AD293" i="29"/>
  <c r="AM293" i="24"/>
  <c r="DL293" i="24" s="1"/>
  <c r="X293" i="24"/>
  <c r="S293" i="24"/>
  <c r="U293" i="24"/>
  <c r="W293" i="24"/>
  <c r="AQ293" i="24"/>
  <c r="Y293" i="24"/>
  <c r="AA293" i="24"/>
  <c r="AB293" i="24"/>
  <c r="AC293" i="24"/>
  <c r="AD293" i="24"/>
  <c r="Z293" i="24"/>
  <c r="R293" i="19"/>
  <c r="A294" i="19"/>
  <c r="AW293" i="19"/>
  <c r="P293" i="19"/>
  <c r="BC293" i="19" s="1"/>
  <c r="AH293" i="19"/>
  <c r="AJ293" i="19" s="1"/>
  <c r="R294" i="26"/>
  <c r="AW294" i="26"/>
  <c r="AH294" i="26"/>
  <c r="AJ294" i="26" s="1"/>
  <c r="P294" i="26"/>
  <c r="BC294" i="26" s="1"/>
  <c r="R294" i="22"/>
  <c r="AH294" i="22"/>
  <c r="AJ294" i="22" s="1"/>
  <c r="AW294" i="22"/>
  <c r="P294" i="22"/>
  <c r="BC294" i="22" s="1"/>
  <c r="AM293" i="26"/>
  <c r="DL293" i="26" s="1"/>
  <c r="X293" i="26"/>
  <c r="W293" i="26"/>
  <c r="AQ293" i="26"/>
  <c r="S293" i="26"/>
  <c r="U293" i="26"/>
  <c r="AB293" i="26"/>
  <c r="AA293" i="26"/>
  <c r="Y293" i="26"/>
  <c r="AC293" i="26"/>
  <c r="Z293" i="26"/>
  <c r="AD293" i="26"/>
  <c r="AM293" i="22"/>
  <c r="DL293" i="22" s="1"/>
  <c r="S293" i="22"/>
  <c r="W293" i="22"/>
  <c r="U293" i="22"/>
  <c r="X293" i="22"/>
  <c r="AQ293" i="22"/>
  <c r="AB293" i="22"/>
  <c r="Y293" i="22"/>
  <c r="AA293" i="22"/>
  <c r="AC293" i="22"/>
  <c r="Z293" i="22"/>
  <c r="AD293" i="22"/>
  <c r="AH294" i="27"/>
  <c r="AJ294" i="27" s="1"/>
  <c r="R294" i="27"/>
  <c r="P294" i="27"/>
  <c r="BC294" i="27" s="1"/>
  <c r="AW294" i="27"/>
  <c r="R294" i="29"/>
  <c r="AH294" i="29"/>
  <c r="AJ294" i="29" s="1"/>
  <c r="AW294" i="29"/>
  <c r="P294" i="29"/>
  <c r="BC294" i="29" s="1"/>
  <c r="R294" i="21"/>
  <c r="P294" i="21"/>
  <c r="BC294" i="21" s="1"/>
  <c r="AW294" i="21"/>
  <c r="AH294" i="21"/>
  <c r="AJ294" i="21" s="1"/>
  <c r="AM293" i="25"/>
  <c r="DL293" i="25" s="1"/>
  <c r="U293" i="25"/>
  <c r="X293" i="25"/>
  <c r="W293" i="25"/>
  <c r="S293" i="25"/>
  <c r="AQ293" i="25"/>
  <c r="AC293" i="25"/>
  <c r="Y293" i="25"/>
  <c r="AB293" i="25"/>
  <c r="AA293" i="25"/>
  <c r="Z293" i="25"/>
  <c r="AD293" i="25"/>
  <c r="AI292" i="23"/>
  <c r="AM293" i="3"/>
  <c r="DL293" i="3" s="1"/>
  <c r="X293" i="3"/>
  <c r="U293" i="3"/>
  <c r="W293" i="3"/>
  <c r="S293" i="3"/>
  <c r="AQ293" i="3"/>
  <c r="AC293" i="3"/>
  <c r="Y293" i="3"/>
  <c r="AA293" i="3"/>
  <c r="AB293" i="3"/>
  <c r="AD293" i="3"/>
  <c r="Z293" i="3"/>
  <c r="AI292" i="25"/>
  <c r="AH294" i="20"/>
  <c r="AJ294" i="20" s="1"/>
  <c r="R294" i="20"/>
  <c r="AW294" i="20"/>
  <c r="P294" i="20"/>
  <c r="BC294" i="20" s="1"/>
  <c r="R294" i="25"/>
  <c r="AH294" i="25"/>
  <c r="AJ294" i="25" s="1"/>
  <c r="P294" i="25"/>
  <c r="BC294" i="25" s="1"/>
  <c r="AW294" i="25"/>
  <c r="R294" i="3"/>
  <c r="AH294" i="3"/>
  <c r="AJ294" i="3" s="1"/>
  <c r="P294" i="3"/>
  <c r="BC294" i="3" s="1"/>
  <c r="AW294" i="3"/>
  <c r="AM293" i="27"/>
  <c r="DL293" i="27" s="1"/>
  <c r="W293" i="27"/>
  <c r="U293" i="27"/>
  <c r="AQ293" i="27"/>
  <c r="X293" i="27"/>
  <c r="S293" i="27"/>
  <c r="AA293" i="27"/>
  <c r="AB293" i="27"/>
  <c r="AC293" i="27"/>
  <c r="Y293" i="27"/>
  <c r="AD293" i="27"/>
  <c r="Z293" i="27"/>
  <c r="AM293" i="21"/>
  <c r="DL293" i="21" s="1"/>
  <c r="W293" i="21"/>
  <c r="U293" i="21"/>
  <c r="X293" i="21"/>
  <c r="S293" i="21"/>
  <c r="AQ293" i="21"/>
  <c r="Y293" i="21"/>
  <c r="AA293" i="21"/>
  <c r="AB293" i="21"/>
  <c r="AC293" i="21"/>
  <c r="Z293" i="21"/>
  <c r="AD293" i="21"/>
  <c r="AM293" i="23"/>
  <c r="DL293" i="23" s="1"/>
  <c r="W293" i="23"/>
  <c r="X293" i="23"/>
  <c r="U293" i="23"/>
  <c r="AQ293" i="23"/>
  <c r="S293" i="23"/>
  <c r="AC293" i="23"/>
  <c r="Y293" i="23"/>
  <c r="AA293" i="23"/>
  <c r="AB293" i="23"/>
  <c r="Z293" i="23"/>
  <c r="AD293" i="23"/>
  <c r="AI292" i="27"/>
  <c r="AM293" i="28"/>
  <c r="DL293" i="28" s="1"/>
  <c r="X293" i="28"/>
  <c r="AQ293" i="28"/>
  <c r="W293" i="28"/>
  <c r="U293" i="28"/>
  <c r="S293" i="28"/>
  <c r="AA293" i="28"/>
  <c r="AC293" i="28"/>
  <c r="Y293" i="28"/>
  <c r="AB293" i="28"/>
  <c r="AD293" i="28"/>
  <c r="Z293" i="28"/>
  <c r="R294" i="24"/>
  <c r="AH294" i="24"/>
  <c r="AJ294" i="24" s="1"/>
  <c r="P294" i="24"/>
  <c r="BC294" i="24" s="1"/>
  <c r="AW294" i="24"/>
  <c r="AM293" i="20"/>
  <c r="DL293" i="20" s="1"/>
  <c r="W293" i="20"/>
  <c r="AQ293" i="20"/>
  <c r="U293" i="20"/>
  <c r="X293" i="20"/>
  <c r="S293" i="20"/>
  <c r="Y293" i="20"/>
  <c r="AC293" i="20"/>
  <c r="AA293" i="20"/>
  <c r="AB293" i="20"/>
  <c r="Z293" i="20"/>
  <c r="AD293" i="20"/>
  <c r="R294" i="23"/>
  <c r="P294" i="23"/>
  <c r="BC294" i="23" s="1"/>
  <c r="AW294" i="23"/>
  <c r="AH294" i="23"/>
  <c r="AJ294" i="23" s="1"/>
  <c r="AI292" i="21"/>
  <c r="R294" i="28"/>
  <c r="P294" i="28"/>
  <c r="BC294" i="28" s="1"/>
  <c r="AH294" i="28"/>
  <c r="AJ294" i="28" s="1"/>
  <c r="AW294" i="28"/>
  <c r="AI292" i="26"/>
  <c r="AM292" i="19"/>
  <c r="DL292" i="19" s="1"/>
  <c r="U292" i="19"/>
  <c r="X292" i="19"/>
  <c r="W292" i="19"/>
  <c r="S292" i="19"/>
  <c r="AQ292" i="19"/>
  <c r="AA292" i="19"/>
  <c r="AC292" i="19"/>
  <c r="Y292" i="19"/>
  <c r="AB292" i="19"/>
  <c r="Z292" i="19"/>
  <c r="AD292" i="19"/>
  <c r="AI291" i="19"/>
  <c r="AL287" i="3" l="1"/>
  <c r="AN287" i="3" s="1"/>
  <c r="AK288" i="3"/>
  <c r="AP286" i="3"/>
  <c r="AR286" i="3" s="1"/>
  <c r="AO286" i="3"/>
  <c r="AI293" i="28"/>
  <c r="AI293" i="26"/>
  <c r="AI293" i="27"/>
  <c r="AI293" i="3"/>
  <c r="AI293" i="22"/>
  <c r="AI292" i="19"/>
  <c r="AI293" i="29"/>
  <c r="AI293" i="21"/>
  <c r="AI293" i="24"/>
  <c r="AM294" i="25"/>
  <c r="DL294" i="25" s="1"/>
  <c r="U294" i="25"/>
  <c r="X294" i="25"/>
  <c r="W294" i="25"/>
  <c r="S294" i="25"/>
  <c r="AQ294" i="25"/>
  <c r="AB294" i="25"/>
  <c r="Y294" i="25"/>
  <c r="AC294" i="25"/>
  <c r="AA294" i="25"/>
  <c r="Z294" i="25"/>
  <c r="AD294" i="25"/>
  <c r="X294" i="26"/>
  <c r="AQ294" i="26"/>
  <c r="S294" i="26"/>
  <c r="AM294" i="26"/>
  <c r="DL294" i="26" s="1"/>
  <c r="U294" i="26"/>
  <c r="W294" i="26"/>
  <c r="AA294" i="26"/>
  <c r="AB294" i="26"/>
  <c r="Y294" i="26"/>
  <c r="AC294" i="26"/>
  <c r="AD294" i="26"/>
  <c r="Z294" i="26"/>
  <c r="AM294" i="29"/>
  <c r="DL294" i="29" s="1"/>
  <c r="X294" i="29"/>
  <c r="U294" i="29"/>
  <c r="W294" i="29"/>
  <c r="AQ294" i="29"/>
  <c r="S294" i="29"/>
  <c r="AA294" i="29"/>
  <c r="Y294" i="29"/>
  <c r="AB294" i="29"/>
  <c r="AC294" i="29"/>
  <c r="Z294" i="29"/>
  <c r="AD294" i="29"/>
  <c r="AM294" i="3"/>
  <c r="DL294" i="3" s="1"/>
  <c r="U294" i="3"/>
  <c r="W294" i="3"/>
  <c r="X294" i="3"/>
  <c r="S294" i="3"/>
  <c r="AQ294" i="3"/>
  <c r="AC294" i="3"/>
  <c r="Y294" i="3"/>
  <c r="AB294" i="3"/>
  <c r="AA294" i="3"/>
  <c r="Z294" i="3"/>
  <c r="AD294" i="3"/>
  <c r="AM294" i="22"/>
  <c r="DL294" i="22" s="1"/>
  <c r="X294" i="22"/>
  <c r="S294" i="22"/>
  <c r="U294" i="22"/>
  <c r="AQ294" i="22"/>
  <c r="W294" i="22"/>
  <c r="Y294" i="22"/>
  <c r="AB294" i="22"/>
  <c r="AA294" i="22"/>
  <c r="AC294" i="22"/>
  <c r="Z294" i="22"/>
  <c r="AD294" i="22"/>
  <c r="U294" i="23"/>
  <c r="X294" i="23"/>
  <c r="W294" i="23"/>
  <c r="S294" i="23"/>
  <c r="AQ294" i="23"/>
  <c r="AM294" i="23"/>
  <c r="DL294" i="23" s="1"/>
  <c r="AB294" i="23"/>
  <c r="Y294" i="23"/>
  <c r="AC294" i="23"/>
  <c r="AA294" i="23"/>
  <c r="AD294" i="23"/>
  <c r="Z294" i="23"/>
  <c r="AI293" i="23"/>
  <c r="AM294" i="20"/>
  <c r="DL294" i="20" s="1"/>
  <c r="W294" i="20"/>
  <c r="X294" i="20"/>
  <c r="AQ294" i="20"/>
  <c r="U294" i="20"/>
  <c r="S294" i="20"/>
  <c r="AB294" i="20"/>
  <c r="AC294" i="20"/>
  <c r="AA294" i="20"/>
  <c r="Y294" i="20"/>
  <c r="Z294" i="20"/>
  <c r="AD294" i="20"/>
  <c r="W294" i="21"/>
  <c r="AQ294" i="21"/>
  <c r="S294" i="21"/>
  <c r="AM294" i="21"/>
  <c r="DL294" i="21" s="1"/>
  <c r="X294" i="21"/>
  <c r="U294" i="21"/>
  <c r="AA294" i="21"/>
  <c r="Y294" i="21"/>
  <c r="AB294" i="21"/>
  <c r="AC294" i="21"/>
  <c r="Z294" i="21"/>
  <c r="AD294" i="21"/>
  <c r="AM294" i="24"/>
  <c r="DL294" i="24" s="1"/>
  <c r="S294" i="24"/>
  <c r="U294" i="24"/>
  <c r="AQ294" i="24"/>
  <c r="W294" i="24"/>
  <c r="X294" i="24"/>
  <c r="Y294" i="24"/>
  <c r="AC294" i="24"/>
  <c r="AB294" i="24"/>
  <c r="AA294" i="24"/>
  <c r="AD294" i="24"/>
  <c r="Z294" i="24"/>
  <c r="AI293" i="25"/>
  <c r="AM294" i="27"/>
  <c r="DL294" i="27" s="1"/>
  <c r="AQ294" i="27"/>
  <c r="X294" i="27"/>
  <c r="U294" i="27"/>
  <c r="S294" i="27"/>
  <c r="W294" i="27"/>
  <c r="AB294" i="27"/>
  <c r="AA294" i="27"/>
  <c r="AC294" i="27"/>
  <c r="Y294" i="27"/>
  <c r="AD294" i="27"/>
  <c r="Z294" i="27"/>
  <c r="R294" i="19"/>
  <c r="AH294" i="19"/>
  <c r="AJ294" i="19" s="1"/>
  <c r="P294" i="19"/>
  <c r="BC294" i="19" s="1"/>
  <c r="AW294" i="19"/>
  <c r="W294" i="28"/>
  <c r="S294" i="28"/>
  <c r="X294" i="28"/>
  <c r="U294" i="28"/>
  <c r="AM294" i="28"/>
  <c r="DL294" i="28" s="1"/>
  <c r="AQ294" i="28"/>
  <c r="Y294" i="28"/>
  <c r="AA294" i="28"/>
  <c r="AB294" i="28"/>
  <c r="AC294" i="28"/>
  <c r="Z294" i="28"/>
  <c r="AD294" i="28"/>
  <c r="AI293" i="20"/>
  <c r="X293" i="19"/>
  <c r="S293" i="19"/>
  <c r="AQ293" i="19"/>
  <c r="AM293" i="19"/>
  <c r="DL293" i="19" s="1"/>
  <c r="U293" i="19"/>
  <c r="W293" i="19"/>
  <c r="AC293" i="19"/>
  <c r="Y293" i="19"/>
  <c r="AB293" i="19"/>
  <c r="AA293" i="19"/>
  <c r="Z293" i="19"/>
  <c r="AD293" i="19"/>
  <c r="AL288" i="3" l="1"/>
  <c r="AN288" i="3" s="1"/>
  <c r="AK289" i="3"/>
  <c r="AO287" i="3"/>
  <c r="AP287" i="3"/>
  <c r="AR287" i="3" s="1"/>
  <c r="AI294" i="28"/>
  <c r="AI294" i="23"/>
  <c r="AI294" i="3"/>
  <c r="AI294" i="22"/>
  <c r="AI294" i="29"/>
  <c r="AI294" i="25"/>
  <c r="AI294" i="26"/>
  <c r="AI294" i="21"/>
  <c r="AI293" i="19"/>
  <c r="AI294" i="27"/>
  <c r="AQ294" i="19"/>
  <c r="AM294" i="19"/>
  <c r="DL294" i="19" s="1"/>
  <c r="X294" i="19"/>
  <c r="U294" i="19"/>
  <c r="S294" i="19"/>
  <c r="W294" i="19"/>
  <c r="Y294" i="19"/>
  <c r="AB294" i="19"/>
  <c r="AA294" i="19"/>
  <c r="AC294" i="19"/>
  <c r="Z294" i="19"/>
  <c r="AD294" i="19"/>
  <c r="AI294" i="24"/>
  <c r="AI294" i="20"/>
  <c r="AL289" i="3" l="1"/>
  <c r="AN289" i="3" s="1"/>
  <c r="AK290" i="3"/>
  <c r="AO288" i="3"/>
  <c r="AP288" i="3"/>
  <c r="AR288" i="3" s="1"/>
  <c r="AI294" i="19"/>
  <c r="AL290" i="3" l="1"/>
  <c r="AN290" i="3" s="1"/>
  <c r="AK291" i="3"/>
  <c r="AP289" i="3"/>
  <c r="AR289" i="3" s="1"/>
  <c r="AO289" i="3"/>
  <c r="AL291" i="3" l="1"/>
  <c r="AN291" i="3" s="1"/>
  <c r="AK292" i="3"/>
  <c r="AO290" i="3"/>
  <c r="AP290" i="3"/>
  <c r="AR290" i="3" s="1"/>
  <c r="AL292" i="3" l="1"/>
  <c r="AN292" i="3" s="1"/>
  <c r="AK293" i="3"/>
  <c r="AP291" i="3"/>
  <c r="AR291" i="3" s="1"/>
  <c r="AO291" i="3"/>
  <c r="AL293" i="3" l="1"/>
  <c r="AN293" i="3" s="1"/>
  <c r="AK294" i="3"/>
  <c r="AO292" i="3"/>
  <c r="AP292" i="3"/>
  <c r="AR292" i="3" s="1"/>
  <c r="AK295" i="3" l="1"/>
  <c r="AK263" i="19" s="1"/>
  <c r="AK264" i="19" s="1"/>
  <c r="AL294" i="3"/>
  <c r="AN294" i="3" s="1"/>
  <c r="AO293" i="3"/>
  <c r="AP293" i="3"/>
  <c r="AR293" i="3" s="1"/>
  <c r="AP294" i="3" l="1"/>
  <c r="AP295" i="3" s="1"/>
  <c r="AP263" i="19" s="1"/>
  <c r="AO294" i="3"/>
  <c r="AK265" i="19"/>
  <c r="AL264" i="19"/>
  <c r="AN264" i="19" s="1"/>
  <c r="AK266" i="19" l="1"/>
  <c r="AL265" i="19"/>
  <c r="AN265" i="19" s="1"/>
  <c r="AP264" i="19"/>
  <c r="AO264" i="19"/>
  <c r="AR294" i="3"/>
  <c r="AR295" i="3" s="1"/>
  <c r="AR263" i="19" s="1"/>
  <c r="AR264" i="19" l="1"/>
  <c r="AO265" i="19"/>
  <c r="AP265" i="19"/>
  <c r="AL266" i="19"/>
  <c r="AN266" i="19" s="1"/>
  <c r="AK267" i="19"/>
  <c r="AR265" i="19" l="1"/>
  <c r="AK268" i="19"/>
  <c r="AL267" i="19"/>
  <c r="AN267" i="19" s="1"/>
  <c r="AP266" i="19"/>
  <c r="AO266" i="19"/>
  <c r="AR266" i="19" l="1"/>
  <c r="AP267" i="19"/>
  <c r="AO267" i="19"/>
  <c r="AL268" i="19"/>
  <c r="AN268" i="19" s="1"/>
  <c r="AK269" i="19"/>
  <c r="AR267" i="19" l="1"/>
  <c r="AK270" i="19"/>
  <c r="AL269" i="19"/>
  <c r="AN269" i="19" s="1"/>
  <c r="AO268" i="19"/>
  <c r="AP268" i="19"/>
  <c r="AR268" i="19" l="1"/>
  <c r="AK271" i="19"/>
  <c r="AL270" i="19"/>
  <c r="AN270" i="19" s="1"/>
  <c r="AP269" i="19"/>
  <c r="AO269" i="19"/>
  <c r="A66" i="4" l="1"/>
  <c r="A81" i="15" s="1"/>
  <c r="AR269" i="19"/>
  <c r="AO270" i="19"/>
  <c r="AP270" i="19"/>
  <c r="AK272" i="19"/>
  <c r="AL271" i="19"/>
  <c r="AN271" i="19" s="1"/>
  <c r="AR270" i="19" l="1"/>
  <c r="AP271" i="19"/>
  <c r="AO271" i="19"/>
  <c r="AK273" i="19"/>
  <c r="AL272" i="19"/>
  <c r="AN272" i="19" s="1"/>
  <c r="AR271" i="19" l="1"/>
  <c r="AP272" i="19"/>
  <c r="AO272" i="19"/>
  <c r="AL273" i="19"/>
  <c r="AN273" i="19" s="1"/>
  <c r="AK274" i="19"/>
  <c r="AR272" i="19" l="1"/>
  <c r="AO273" i="19"/>
  <c r="AP273" i="19"/>
  <c r="AL274" i="19"/>
  <c r="AN274" i="19" s="1"/>
  <c r="AK275" i="19"/>
  <c r="AR273" i="19" l="1"/>
  <c r="AP274" i="19"/>
  <c r="AO274" i="19"/>
  <c r="AL275" i="19"/>
  <c r="AN275" i="19" s="1"/>
  <c r="AK276" i="19"/>
  <c r="AR274" i="19" l="1"/>
  <c r="AL276" i="19"/>
  <c r="AN276" i="19" s="1"/>
  <c r="AK277" i="19"/>
  <c r="AP275" i="19"/>
  <c r="AO275" i="19"/>
  <c r="O218" i="3" l="1"/>
  <c r="O225" i="3"/>
  <c r="O224" i="3"/>
  <c r="O226" i="3"/>
  <c r="O219" i="3"/>
  <c r="O221" i="3"/>
  <c r="G221" i="3" s="1"/>
  <c r="O220" i="3"/>
  <c r="G220" i="3" s="1"/>
  <c r="AR275" i="19"/>
  <c r="AP276" i="19"/>
  <c r="AO276" i="19"/>
  <c r="AL277" i="19"/>
  <c r="AN277" i="19" s="1"/>
  <c r="AK278" i="19"/>
  <c r="E218" i="3" l="1"/>
  <c r="A218" i="3"/>
  <c r="O234" i="3"/>
  <c r="E226" i="3"/>
  <c r="A226" i="3"/>
  <c r="E224" i="3"/>
  <c r="A224" i="3"/>
  <c r="A225" i="3"/>
  <c r="E225" i="3"/>
  <c r="A220" i="3"/>
  <c r="E220" i="3"/>
  <c r="A221" i="3"/>
  <c r="E221" i="3"/>
  <c r="E219" i="3"/>
  <c r="A219" i="3"/>
  <c r="AR276" i="19"/>
  <c r="AK279" i="19"/>
  <c r="AL278" i="19"/>
  <c r="AN278" i="19" s="1"/>
  <c r="AO277" i="19"/>
  <c r="AP277" i="19"/>
  <c r="E234" i="3" l="1"/>
  <c r="O236" i="3"/>
  <c r="A234" i="3"/>
  <c r="AR277" i="19"/>
  <c r="AK280" i="19"/>
  <c r="AL279" i="19"/>
  <c r="AN279" i="19" s="1"/>
  <c r="AP278" i="19"/>
  <c r="AO278" i="19"/>
  <c r="A236" i="3" l="1"/>
  <c r="E236" i="3"/>
  <c r="AR278" i="19"/>
  <c r="AK281" i="19"/>
  <c r="AL280" i="19"/>
  <c r="AN280" i="19" s="1"/>
  <c r="AP279" i="19"/>
  <c r="AO279" i="19"/>
  <c r="AR279" i="19" l="1"/>
  <c r="AP280" i="19"/>
  <c r="AO280" i="19"/>
  <c r="AK282" i="19"/>
  <c r="AL281" i="19"/>
  <c r="AN281" i="19" s="1"/>
  <c r="AR280" i="19" l="1"/>
  <c r="AO281" i="19"/>
  <c r="AP281" i="19"/>
  <c r="AL282" i="19"/>
  <c r="AN282" i="19" s="1"/>
  <c r="AK283" i="19"/>
  <c r="AR281" i="19" l="1"/>
  <c r="AL283" i="19"/>
  <c r="AN283" i="19" s="1"/>
  <c r="AK284" i="19"/>
  <c r="AP282" i="19"/>
  <c r="AO282" i="19"/>
  <c r="AR282" i="19" l="1"/>
  <c r="AL284" i="19"/>
  <c r="AN284" i="19" s="1"/>
  <c r="AK285" i="19"/>
  <c r="AP283" i="19"/>
  <c r="AO283" i="19"/>
  <c r="AR283" i="19" l="1"/>
  <c r="AP284" i="19"/>
  <c r="AO284" i="19"/>
  <c r="AK286" i="19"/>
  <c r="AL285" i="19"/>
  <c r="AN285" i="19" s="1"/>
  <c r="AR284" i="19" l="1"/>
  <c r="AO285" i="19"/>
  <c r="AP285" i="19"/>
  <c r="AL286" i="19"/>
  <c r="AN286" i="19" s="1"/>
  <c r="AK287" i="19"/>
  <c r="AR285" i="19" l="1"/>
  <c r="AL287" i="19"/>
  <c r="AN287" i="19" s="1"/>
  <c r="AK288" i="19"/>
  <c r="AP286" i="19"/>
  <c r="AO286" i="19"/>
  <c r="AR286" i="19" l="1"/>
  <c r="AK289" i="19"/>
  <c r="AL288" i="19"/>
  <c r="AN288" i="19" s="1"/>
  <c r="AP287" i="19"/>
  <c r="AO287" i="19"/>
  <c r="A316" i="28" l="1"/>
  <c r="A316" i="24"/>
  <c r="A316" i="25"/>
  <c r="A316" i="20"/>
  <c r="A316" i="27"/>
  <c r="A316" i="26"/>
  <c r="A316" i="21"/>
  <c r="A316" i="3"/>
  <c r="A316" i="29"/>
  <c r="A316" i="23"/>
  <c r="A316" i="22"/>
  <c r="A316" i="19"/>
  <c r="AR287" i="19"/>
  <c r="AK290" i="19"/>
  <c r="AL289" i="19"/>
  <c r="AN289" i="19" s="1"/>
  <c r="AP288" i="19"/>
  <c r="AO288" i="19"/>
  <c r="AR288" i="19" l="1"/>
  <c r="AL290" i="19"/>
  <c r="AN290" i="19" s="1"/>
  <c r="AK291" i="19"/>
  <c r="AP289" i="19"/>
  <c r="AO289" i="19"/>
  <c r="AR289" i="19" l="1"/>
  <c r="AP290" i="19"/>
  <c r="AO290" i="19"/>
  <c r="AK292" i="19"/>
  <c r="AL291" i="19"/>
  <c r="AN291" i="19" s="1"/>
  <c r="AR290" i="19" l="1"/>
  <c r="AP291" i="19"/>
  <c r="AO291" i="19"/>
  <c r="AL292" i="19"/>
  <c r="AN292" i="19" s="1"/>
  <c r="AO292" i="19" s="1"/>
  <c r="AK293" i="19"/>
  <c r="AP292" i="19" l="1"/>
  <c r="AP293" i="19" s="1"/>
  <c r="AP294" i="19" s="1"/>
  <c r="AP295" i="19" s="1"/>
  <c r="AP263" i="20" s="1"/>
  <c r="AL293" i="19"/>
  <c r="AN293" i="19" s="1"/>
  <c r="AO293" i="19" s="1"/>
  <c r="AK294" i="19"/>
  <c r="AR291" i="19"/>
  <c r="AR292" i="19" l="1"/>
  <c r="AR293" i="19" s="1"/>
  <c r="AR294" i="19" s="1"/>
  <c r="AR295" i="19" s="1"/>
  <c r="AR263" i="20" s="1"/>
  <c r="AL294" i="19"/>
  <c r="AN294" i="19" s="1"/>
  <c r="AO294" i="19" s="1"/>
  <c r="AK295" i="19"/>
  <c r="AK263" i="20" s="1"/>
  <c r="AK264" i="20" s="1"/>
  <c r="AL264" i="20" l="1"/>
  <c r="AN264" i="20" s="1"/>
  <c r="AK265" i="20"/>
  <c r="AK266" i="20" l="1"/>
  <c r="AL265" i="20"/>
  <c r="AN265" i="20" s="1"/>
  <c r="AP264" i="20"/>
  <c r="AR264" i="20" s="1"/>
  <c r="AO264" i="20"/>
  <c r="AO265" i="20" l="1"/>
  <c r="AP265" i="20"/>
  <c r="AR265" i="20" s="1"/>
  <c r="AK267" i="20"/>
  <c r="AL266" i="20"/>
  <c r="AN266" i="20" s="1"/>
  <c r="AP266" i="20" l="1"/>
  <c r="AR266" i="20" s="1"/>
  <c r="AO266" i="20"/>
  <c r="AL267" i="20"/>
  <c r="AN267" i="20" s="1"/>
  <c r="AK268" i="20"/>
  <c r="AO267" i="20" l="1"/>
  <c r="AP267" i="20"/>
  <c r="AR267" i="20" s="1"/>
  <c r="AK269" i="20"/>
  <c r="AL268" i="20"/>
  <c r="AN268" i="20" s="1"/>
  <c r="AP268" i="20" l="1"/>
  <c r="AR268" i="20" s="1"/>
  <c r="AO268" i="20"/>
  <c r="AL269" i="20"/>
  <c r="AN269" i="20" s="1"/>
  <c r="AK270" i="20"/>
  <c r="AK271" i="20" l="1"/>
  <c r="AL270" i="20"/>
  <c r="AN270" i="20" s="1"/>
  <c r="AO269" i="20"/>
  <c r="AP269" i="20"/>
  <c r="AR269" i="20" s="1"/>
  <c r="AP270" i="20" l="1"/>
  <c r="AR270" i="20" s="1"/>
  <c r="AO270" i="20"/>
  <c r="AL271" i="20"/>
  <c r="AN271" i="20" s="1"/>
  <c r="AK272" i="20"/>
  <c r="AP271" i="20" l="1"/>
  <c r="AR271" i="20" s="1"/>
  <c r="AO271" i="20"/>
  <c r="AK273" i="20"/>
  <c r="AL272" i="20"/>
  <c r="AN272" i="20" s="1"/>
  <c r="AP272" i="20" l="1"/>
  <c r="AR272" i="20" s="1"/>
  <c r="AO272" i="20"/>
  <c r="AL273" i="20"/>
  <c r="AN273" i="20" s="1"/>
  <c r="AK274" i="20"/>
  <c r="AK275" i="20" l="1"/>
  <c r="AL274" i="20"/>
  <c r="AN274" i="20" s="1"/>
  <c r="AO273" i="20"/>
  <c r="AP273" i="20"/>
  <c r="AR273" i="20" s="1"/>
  <c r="AO274" i="20" l="1"/>
  <c r="AP274" i="20"/>
  <c r="AR274" i="20" s="1"/>
  <c r="AL275" i="20"/>
  <c r="AN275" i="20" s="1"/>
  <c r="AK276" i="20"/>
  <c r="O238" i="23" l="1"/>
  <c r="O240" i="23"/>
  <c r="O239" i="23"/>
  <c r="O241" i="23"/>
  <c r="O228" i="23"/>
  <c r="O235" i="23"/>
  <c r="O229" i="23"/>
  <c r="O230" i="23"/>
  <c r="O231" i="23"/>
  <c r="O218" i="23"/>
  <c r="O226" i="23"/>
  <c r="O224" i="23"/>
  <c r="O225" i="23"/>
  <c r="O221" i="23"/>
  <c r="O219" i="23"/>
  <c r="O220" i="23"/>
  <c r="A327" i="26"/>
  <c r="A113" i="4"/>
  <c r="A126" i="15" s="1"/>
  <c r="B113" i="4"/>
  <c r="C103" i="31" s="1"/>
  <c r="A114" i="4"/>
  <c r="A127" i="15" s="1"/>
  <c r="A327" i="3"/>
  <c r="A327" i="20"/>
  <c r="A327" i="19"/>
  <c r="A112" i="4"/>
  <c r="A125" i="15" s="1"/>
  <c r="A327" i="22"/>
  <c r="A327" i="24"/>
  <c r="A111" i="4"/>
  <c r="A124" i="15" s="1"/>
  <c r="A327" i="28"/>
  <c r="B115" i="4"/>
  <c r="C105" i="31" s="1"/>
  <c r="A327" i="25"/>
  <c r="A327" i="29"/>
  <c r="A327" i="21"/>
  <c r="A327" i="23"/>
  <c r="A115" i="4"/>
  <c r="A128" i="15" s="1"/>
  <c r="A327" i="27"/>
  <c r="B114" i="4"/>
  <c r="C104" i="31" s="1"/>
  <c r="B111" i="4"/>
  <c r="C101" i="31" s="1"/>
  <c r="AL276" i="20"/>
  <c r="AN276" i="20" s="1"/>
  <c r="AK277" i="20"/>
  <c r="AO275" i="20"/>
  <c r="AP275" i="20"/>
  <c r="AR275" i="20" s="1"/>
  <c r="E238" i="23" l="1"/>
  <c r="A238" i="23"/>
  <c r="A241" i="23"/>
  <c r="E241" i="23"/>
  <c r="G241" i="23"/>
  <c r="A239" i="23"/>
  <c r="E239" i="23"/>
  <c r="A240" i="23"/>
  <c r="G240" i="23"/>
  <c r="E240" i="23"/>
  <c r="E228" i="23"/>
  <c r="A228" i="23"/>
  <c r="E235" i="23"/>
  <c r="A235" i="23"/>
  <c r="G231" i="23"/>
  <c r="A231" i="23"/>
  <c r="E231" i="23"/>
  <c r="G230" i="23"/>
  <c r="E230" i="23"/>
  <c r="A230" i="23"/>
  <c r="A229" i="23"/>
  <c r="E229" i="23"/>
  <c r="A218" i="23"/>
  <c r="E218" i="23"/>
  <c r="A225" i="23"/>
  <c r="E225" i="23"/>
  <c r="E224" i="23"/>
  <c r="A224" i="23"/>
  <c r="O234" i="23"/>
  <c r="E226" i="23"/>
  <c r="A226" i="23"/>
  <c r="E220" i="23"/>
  <c r="A220" i="23"/>
  <c r="G220" i="23"/>
  <c r="A219" i="23"/>
  <c r="E219" i="23"/>
  <c r="A221" i="23"/>
  <c r="G221" i="23"/>
  <c r="E221" i="23"/>
  <c r="AL277" i="20"/>
  <c r="AN277" i="20" s="1"/>
  <c r="AK278" i="20"/>
  <c r="AP276" i="20"/>
  <c r="AR276" i="20" s="1"/>
  <c r="AO276" i="20"/>
  <c r="A234" i="23" l="1"/>
  <c r="O236" i="23"/>
  <c r="E234" i="23"/>
  <c r="AL278" i="20"/>
  <c r="AN278" i="20" s="1"/>
  <c r="AK279" i="20"/>
  <c r="AO277" i="20"/>
  <c r="AP277" i="20"/>
  <c r="AR277" i="20" s="1"/>
  <c r="E217" i="26" l="1"/>
  <c r="A217" i="21"/>
  <c r="A217" i="23"/>
  <c r="A217" i="3"/>
  <c r="A217" i="20"/>
  <c r="E217" i="19"/>
  <c r="A217" i="28"/>
  <c r="A217" i="25"/>
  <c r="A217" i="22"/>
  <c r="E217" i="27"/>
  <c r="A217" i="24"/>
  <c r="E217" i="24"/>
  <c r="E217" i="25"/>
  <c r="E217" i="20"/>
  <c r="E217" i="28"/>
  <c r="E217" i="21"/>
  <c r="A217" i="26"/>
  <c r="A217" i="29"/>
  <c r="E217" i="22"/>
  <c r="E217" i="3"/>
  <c r="A217" i="19"/>
  <c r="E217" i="23"/>
  <c r="E217" i="29"/>
  <c r="A217" i="27"/>
  <c r="E216" i="29"/>
  <c r="A216" i="20"/>
  <c r="A216" i="28"/>
  <c r="A216" i="27"/>
  <c r="A216" i="23"/>
  <c r="A216" i="25"/>
  <c r="E216" i="22"/>
  <c r="E216" i="24"/>
  <c r="E216" i="21"/>
  <c r="E216" i="28"/>
  <c r="E216" i="19"/>
  <c r="E216" i="23"/>
  <c r="E216" i="3"/>
  <c r="A216" i="3"/>
  <c r="E216" i="25"/>
  <c r="A216" i="26"/>
  <c r="E216" i="27"/>
  <c r="A216" i="24"/>
  <c r="A216" i="19"/>
  <c r="E216" i="26"/>
  <c r="A216" i="29"/>
  <c r="E216" i="20"/>
  <c r="A216" i="22"/>
  <c r="A216" i="21"/>
  <c r="E236" i="23"/>
  <c r="A236" i="23"/>
  <c r="AK280" i="20"/>
  <c r="AL279" i="20"/>
  <c r="AN279" i="20" s="1"/>
  <c r="AO278" i="20"/>
  <c r="AP278" i="20"/>
  <c r="AR278" i="20" s="1"/>
  <c r="AP279" i="20" l="1"/>
  <c r="AR279" i="20" s="1"/>
  <c r="AO279" i="20"/>
  <c r="AK281" i="20"/>
  <c r="AL280" i="20"/>
  <c r="AN280" i="20" s="1"/>
  <c r="AK282" i="20" l="1"/>
  <c r="AL281" i="20"/>
  <c r="AN281" i="20" s="1"/>
  <c r="AP280" i="20"/>
  <c r="AR280" i="20" s="1"/>
  <c r="AO280" i="20"/>
  <c r="AO281" i="20" l="1"/>
  <c r="AP281" i="20"/>
  <c r="AR281" i="20" s="1"/>
  <c r="AK283" i="20"/>
  <c r="AL282" i="20"/>
  <c r="AN282" i="20" s="1"/>
  <c r="AO282" i="20" l="1"/>
  <c r="AP282" i="20"/>
  <c r="AR282" i="20" s="1"/>
  <c r="AK284" i="20"/>
  <c r="AL283" i="20"/>
  <c r="AN283" i="20" s="1"/>
  <c r="AL284" i="20" l="1"/>
  <c r="AN284" i="20" s="1"/>
  <c r="AK285" i="20"/>
  <c r="AP283" i="20"/>
  <c r="AR283" i="20" s="1"/>
  <c r="AO283" i="20"/>
  <c r="AL285" i="20" l="1"/>
  <c r="AN285" i="20" s="1"/>
  <c r="AK286" i="20"/>
  <c r="AP284" i="20"/>
  <c r="AR284" i="20" s="1"/>
  <c r="AO284" i="20"/>
  <c r="AL286" i="20" l="1"/>
  <c r="AN286" i="20" s="1"/>
  <c r="AK287" i="20"/>
  <c r="AO285" i="20"/>
  <c r="AP285" i="20"/>
  <c r="AR285" i="20" s="1"/>
  <c r="AK288" i="20" l="1"/>
  <c r="AL287" i="20"/>
  <c r="AN287" i="20" s="1"/>
  <c r="AP286" i="20"/>
  <c r="AR286" i="20" s="1"/>
  <c r="AO286" i="20"/>
  <c r="AP287" i="20" l="1"/>
  <c r="AR287" i="20" s="1"/>
  <c r="AO287" i="20"/>
  <c r="AK289" i="20"/>
  <c r="AL288" i="20"/>
  <c r="AN288" i="20" s="1"/>
  <c r="AO288" i="20" l="1"/>
  <c r="AP288" i="20"/>
  <c r="AR288" i="20" s="1"/>
  <c r="AK290" i="20"/>
  <c r="AL289" i="20"/>
  <c r="AN289" i="20" s="1"/>
  <c r="AL290" i="20" l="1"/>
  <c r="AN290" i="20" s="1"/>
  <c r="AK291" i="20"/>
  <c r="AO289" i="20"/>
  <c r="AP289" i="20"/>
  <c r="AR289" i="20" s="1"/>
  <c r="AK292" i="20" l="1"/>
  <c r="AL291" i="20"/>
  <c r="AN291" i="20" s="1"/>
  <c r="AO290" i="20"/>
  <c r="AP290" i="20"/>
  <c r="AR290" i="20" s="1"/>
  <c r="A36" i="18" l="1"/>
  <c r="AO291" i="20"/>
  <c r="AP291" i="20"/>
  <c r="AR291" i="20" s="1"/>
  <c r="AK293" i="20"/>
  <c r="AL292" i="20"/>
  <c r="AN292" i="20" s="1"/>
  <c r="AK294" i="20" l="1"/>
  <c r="AL293" i="20"/>
  <c r="AN293" i="20" s="1"/>
  <c r="AO292" i="20"/>
  <c r="AP292" i="20"/>
  <c r="AR292" i="20" s="1"/>
  <c r="AO293" i="20" l="1"/>
  <c r="AP293" i="20"/>
  <c r="AR293" i="20" s="1"/>
  <c r="AK295" i="20"/>
  <c r="AK263" i="21" s="1"/>
  <c r="AK264" i="21" s="1"/>
  <c r="AL294" i="20"/>
  <c r="AN294" i="20" s="1"/>
  <c r="AK265" i="21" l="1"/>
  <c r="AL264" i="21"/>
  <c r="AN264" i="21" s="1"/>
  <c r="AP294" i="20"/>
  <c r="AO294" i="20"/>
  <c r="AP264" i="21" l="1"/>
  <c r="AO264" i="21"/>
  <c r="AP295" i="20"/>
  <c r="AP263" i="21" s="1"/>
  <c r="AR294" i="20"/>
  <c r="AR295" i="20" s="1"/>
  <c r="AR263" i="21" s="1"/>
  <c r="AK266" i="21"/>
  <c r="AL265" i="21"/>
  <c r="AN265" i="21" s="1"/>
  <c r="A332" i="28" l="1"/>
  <c r="A332" i="27"/>
  <c r="A332" i="26"/>
  <c r="A332" i="20"/>
  <c r="A332" i="29"/>
  <c r="A332" i="22"/>
  <c r="A332" i="23"/>
  <c r="A332" i="3"/>
  <c r="A332" i="21"/>
  <c r="A332" i="19"/>
  <c r="A332" i="24"/>
  <c r="A332" i="25"/>
  <c r="AR264" i="21"/>
  <c r="AP265" i="21"/>
  <c r="AO265" i="21"/>
  <c r="AK267" i="21"/>
  <c r="AL266" i="21"/>
  <c r="AN266" i="21" s="1"/>
  <c r="AR265" i="21" l="1"/>
  <c r="AP266" i="21"/>
  <c r="AO266" i="21"/>
  <c r="AL267" i="21"/>
  <c r="AN267" i="21" s="1"/>
  <c r="AK268" i="21"/>
  <c r="AR266" i="21" l="1"/>
  <c r="AL268" i="21"/>
  <c r="AN268" i="21" s="1"/>
  <c r="AK269" i="21"/>
  <c r="AO267" i="21"/>
  <c r="AP267" i="21"/>
  <c r="AR267" i="21" l="1"/>
  <c r="AK270" i="21"/>
  <c r="AL269" i="21"/>
  <c r="AN269" i="21" s="1"/>
  <c r="AP268" i="21"/>
  <c r="AO268" i="21"/>
  <c r="AR268" i="21" l="1"/>
  <c r="AP269" i="21"/>
  <c r="AO269" i="21"/>
  <c r="AK271" i="21"/>
  <c r="AL270" i="21"/>
  <c r="AN270" i="21" s="1"/>
  <c r="AR269" i="21" l="1"/>
  <c r="AP270" i="21"/>
  <c r="AO270" i="21"/>
  <c r="AL271" i="21"/>
  <c r="AN271" i="21" s="1"/>
  <c r="AK272" i="21"/>
  <c r="AR270" i="21" l="1"/>
  <c r="AO271" i="21"/>
  <c r="AP271" i="21"/>
  <c r="AL272" i="21"/>
  <c r="AN272" i="21" s="1"/>
  <c r="AK273" i="21"/>
  <c r="AR271" i="21" l="1"/>
  <c r="AP272" i="21"/>
  <c r="AO272" i="21"/>
  <c r="AK274" i="21"/>
  <c r="AL273" i="21"/>
  <c r="AN273" i="21" s="1"/>
  <c r="AR272" i="21" l="1"/>
  <c r="AK275" i="21"/>
  <c r="AL274" i="21"/>
  <c r="AN274" i="21" s="1"/>
  <c r="AP273" i="21"/>
  <c r="AO273" i="21"/>
  <c r="D62" i="4" l="1"/>
  <c r="A63" i="4"/>
  <c r="A78" i="15" s="1"/>
  <c r="C51" i="31"/>
  <c r="AR273" i="21"/>
  <c r="AO274" i="21"/>
  <c r="AP274" i="21"/>
  <c r="AK276" i="21"/>
  <c r="AL275" i="21"/>
  <c r="AN275" i="21" s="1"/>
  <c r="AR274" i="21" l="1"/>
  <c r="AL276" i="21"/>
  <c r="AN276" i="21" s="1"/>
  <c r="AK277" i="21"/>
  <c r="AO275" i="21"/>
  <c r="AP275" i="21"/>
  <c r="AR275" i="21" l="1"/>
  <c r="AK278" i="21"/>
  <c r="AL277" i="21"/>
  <c r="AN277" i="21" s="1"/>
  <c r="AP276" i="21"/>
  <c r="AO276" i="21"/>
  <c r="AR276" i="21" l="1"/>
  <c r="AP277" i="21"/>
  <c r="AO277" i="21"/>
  <c r="AL278" i="21"/>
  <c r="AN278" i="21" s="1"/>
  <c r="AK279" i="21"/>
  <c r="AR277" i="21" l="1"/>
  <c r="AP278" i="21"/>
  <c r="AO278" i="21"/>
  <c r="AK280" i="21"/>
  <c r="AL279" i="21"/>
  <c r="AN279" i="21" s="1"/>
  <c r="AR278" i="21" l="1"/>
  <c r="AK281" i="21"/>
  <c r="AL280" i="21"/>
  <c r="AN280" i="21" s="1"/>
  <c r="AO279" i="21"/>
  <c r="AP279" i="21"/>
  <c r="AR279" i="21" l="1"/>
  <c r="AO280" i="21"/>
  <c r="AP280" i="21"/>
  <c r="AK282" i="21"/>
  <c r="AL281" i="21"/>
  <c r="AN281" i="21" s="1"/>
  <c r="AR280" i="21" l="1"/>
  <c r="AP281" i="21"/>
  <c r="AO281" i="21"/>
  <c r="AK283" i="21"/>
  <c r="AL282" i="21"/>
  <c r="AN282" i="21" s="1"/>
  <c r="AR281" i="21" l="1"/>
  <c r="AK284" i="21"/>
  <c r="AL283" i="21"/>
  <c r="AN283" i="21" s="1"/>
  <c r="AP282" i="21"/>
  <c r="AO282" i="21"/>
  <c r="AR282" i="21" l="1"/>
  <c r="AP283" i="21"/>
  <c r="AO283" i="21"/>
  <c r="AK285" i="21"/>
  <c r="AL284" i="21"/>
  <c r="AN284" i="21" s="1"/>
  <c r="AR283" i="21" l="1"/>
  <c r="AP284" i="21"/>
  <c r="AO284" i="21"/>
  <c r="AK286" i="21"/>
  <c r="AL285" i="21"/>
  <c r="AN285" i="21" s="1"/>
  <c r="AR284" i="21" l="1"/>
  <c r="AK287" i="21"/>
  <c r="AL286" i="21"/>
  <c r="AN286" i="21" s="1"/>
  <c r="AO285" i="21"/>
  <c r="AP285" i="21"/>
  <c r="AR285" i="21" l="1"/>
  <c r="AP286" i="21"/>
  <c r="AO286" i="21"/>
  <c r="AL287" i="21"/>
  <c r="AN287" i="21" s="1"/>
  <c r="AK288" i="21"/>
  <c r="AR286" i="21" l="1"/>
  <c r="AO287" i="21"/>
  <c r="AP287" i="21"/>
  <c r="AL288" i="21"/>
  <c r="AN288" i="21" s="1"/>
  <c r="AK289" i="21"/>
  <c r="AR287" i="21" l="1"/>
  <c r="AL289" i="21"/>
  <c r="AN289" i="21" s="1"/>
  <c r="AK290" i="21"/>
  <c r="AO288" i="21"/>
  <c r="AP288" i="21"/>
  <c r="AR288" i="21" l="1"/>
  <c r="AL290" i="21"/>
  <c r="AN290" i="21" s="1"/>
  <c r="AK291" i="21"/>
  <c r="AP289" i="21"/>
  <c r="AO289" i="21"/>
  <c r="AR289" i="21" l="1"/>
  <c r="AL291" i="21"/>
  <c r="AN291" i="21" s="1"/>
  <c r="AK292" i="21"/>
  <c r="AP290" i="21"/>
  <c r="AO290" i="21"/>
  <c r="AR290" i="21" l="1"/>
  <c r="AL292" i="21"/>
  <c r="AN292" i="21" s="1"/>
  <c r="AK293" i="21"/>
  <c r="AP291" i="21"/>
  <c r="AO291" i="21"/>
  <c r="AR291" i="21" l="1"/>
  <c r="AL293" i="21"/>
  <c r="AN293" i="21" s="1"/>
  <c r="AK294" i="21"/>
  <c r="AO292" i="21"/>
  <c r="AP292" i="21"/>
  <c r="AR292" i="21" l="1"/>
  <c r="AK295" i="21"/>
  <c r="AK263" i="22" s="1"/>
  <c r="AK264" i="22" s="1"/>
  <c r="AL294" i="21"/>
  <c r="AN294" i="21" s="1"/>
  <c r="AO294" i="21" s="1"/>
  <c r="AP293" i="21"/>
  <c r="AP294" i="21" s="1"/>
  <c r="AP295" i="21" s="1"/>
  <c r="AP263" i="22" s="1"/>
  <c r="AO293" i="21"/>
  <c r="AL264" i="22" l="1"/>
  <c r="AN264" i="22" s="1"/>
  <c r="AK265" i="22"/>
  <c r="AR293" i="21"/>
  <c r="AR294" i="21" s="1"/>
  <c r="AR295" i="21" s="1"/>
  <c r="AR263" i="22" s="1"/>
  <c r="AK266" i="22" l="1"/>
  <c r="AL265" i="22"/>
  <c r="AN265" i="22" s="1"/>
  <c r="AP264" i="22"/>
  <c r="AR264" i="22" s="1"/>
  <c r="AO264" i="22"/>
  <c r="AP265" i="22" l="1"/>
  <c r="AR265" i="22" s="1"/>
  <c r="AO265" i="22"/>
  <c r="AL266" i="22"/>
  <c r="AN266" i="22" s="1"/>
  <c r="AK267" i="22"/>
  <c r="AP266" i="22" l="1"/>
  <c r="AR266" i="22" s="1"/>
  <c r="AO266" i="22"/>
  <c r="AK268" i="22"/>
  <c r="AL267" i="22"/>
  <c r="AN267" i="22" s="1"/>
  <c r="AP267" i="22" l="1"/>
  <c r="AR267" i="22" s="1"/>
  <c r="AO267" i="22"/>
  <c r="AK269" i="22"/>
  <c r="AL268" i="22"/>
  <c r="AN268" i="22" s="1"/>
  <c r="AP268" i="22" l="1"/>
  <c r="AR268" i="22" s="1"/>
  <c r="AO268" i="22"/>
  <c r="AK270" i="22"/>
  <c r="AL269" i="22"/>
  <c r="AN269" i="22" s="1"/>
  <c r="AK271" i="22" l="1"/>
  <c r="AL270" i="22"/>
  <c r="AN270" i="22" s="1"/>
  <c r="AO269" i="22"/>
  <c r="AP269" i="22"/>
  <c r="AR269" i="22" s="1"/>
  <c r="AA214" i="24"/>
  <c r="C305" i="3"/>
  <c r="A22" i="15"/>
  <c r="A119" i="4"/>
  <c r="AA221" i="20"/>
  <c r="AA221" i="29"/>
  <c r="B76" i="31"/>
  <c r="A45" i="4"/>
  <c r="A259" i="19"/>
  <c r="AA402" i="27"/>
  <c r="AE211" i="25"/>
  <c r="AE237" i="22"/>
  <c r="AA404" i="20"/>
  <c r="D302" i="25"/>
  <c r="AA325" i="29"/>
  <c r="C6" i="14"/>
  <c r="Q307" i="28"/>
  <c r="AA387" i="28"/>
  <c r="AG241" i="22"/>
  <c r="D13" i="23"/>
  <c r="AA378" i="26"/>
  <c r="AJ151" i="29"/>
  <c r="AA207" i="19"/>
  <c r="AA44" i="22"/>
  <c r="AE35" i="21"/>
  <c r="A19" i="25"/>
  <c r="AF161" i="27"/>
  <c r="AE38" i="22"/>
  <c r="AA221" i="21"/>
  <c r="C262" i="20"/>
  <c r="AA246" i="29"/>
  <c r="A56" i="4"/>
  <c r="AI27" i="20"/>
  <c r="H1" i="20"/>
  <c r="AA319" i="28"/>
  <c r="AA309" i="3"/>
  <c r="A260" i="27"/>
  <c r="A307" i="20"/>
  <c r="AA162" i="28"/>
  <c r="AA325" i="27"/>
  <c r="I262" i="24"/>
  <c r="AA419" i="23"/>
  <c r="AA213" i="25"/>
  <c r="AA402" i="19"/>
  <c r="AA152" i="24"/>
  <c r="AE217" i="27"/>
  <c r="A100" i="4"/>
  <c r="AA185" i="24"/>
  <c r="G16" i="25"/>
  <c r="AA34" i="3"/>
  <c r="AA392" i="22"/>
  <c r="AA230" i="3"/>
  <c r="AG359" i="29"/>
  <c r="AA311" i="25"/>
  <c r="B50" i="31"/>
  <c r="AE151" i="25"/>
  <c r="AE32" i="27"/>
  <c r="AA182" i="23"/>
  <c r="AE240" i="25"/>
  <c r="A302" i="3"/>
  <c r="AA35" i="25"/>
  <c r="AG314" i="25"/>
  <c r="AA240" i="26"/>
  <c r="AA385" i="3"/>
  <c r="B18" i="3"/>
  <c r="B18" i="25"/>
  <c r="E18" i="3"/>
  <c r="A301" i="22"/>
  <c r="AJ151" i="22"/>
  <c r="AA378" i="3"/>
  <c r="D21" i="15"/>
  <c r="E302" i="3"/>
  <c r="A97" i="4"/>
  <c r="B7" i="25"/>
  <c r="AA175" i="22"/>
  <c r="AA211" i="28"/>
  <c r="AA40" i="26"/>
  <c r="AA216" i="23"/>
  <c r="A78" i="4"/>
  <c r="AA447" i="29"/>
  <c r="C301" i="25"/>
  <c r="B307" i="28"/>
  <c r="AI25" i="29"/>
  <c r="D306" i="24"/>
  <c r="AA221" i="25"/>
  <c r="A21" i="4"/>
  <c r="AE39" i="20"/>
  <c r="D17" i="21"/>
  <c r="AE35" i="22"/>
  <c r="AA181" i="27"/>
  <c r="AA162" i="23"/>
  <c r="AA38" i="24"/>
  <c r="AA309" i="28"/>
  <c r="AE227" i="28"/>
  <c r="AA175" i="20"/>
  <c r="AG231" i="23"/>
  <c r="A71" i="4"/>
  <c r="AH154" i="24"/>
  <c r="A46" i="3"/>
  <c r="AK151" i="3"/>
  <c r="O29" i="18"/>
  <c r="AA182" i="27"/>
  <c r="AA443" i="21"/>
  <c r="A298" i="21"/>
  <c r="AA172" i="27"/>
  <c r="AA456" i="27"/>
  <c r="E307" i="19"/>
  <c r="AA227" i="24"/>
  <c r="D306" i="19"/>
  <c r="E301" i="28"/>
  <c r="AE238" i="22"/>
  <c r="A18" i="18"/>
  <c r="C302" i="20"/>
  <c r="AA35" i="20"/>
  <c r="AA237" i="23"/>
  <c r="AI217" i="27"/>
  <c r="B299" i="19"/>
  <c r="AA36" i="24"/>
  <c r="AA224" i="24"/>
  <c r="AA425" i="19"/>
  <c r="A302" i="20"/>
  <c r="AA240" i="20"/>
  <c r="D299" i="26"/>
  <c r="B305" i="21"/>
  <c r="AA437" i="19"/>
  <c r="B92" i="31"/>
  <c r="AA26" i="26"/>
  <c r="AA216" i="24"/>
  <c r="AE217" i="3"/>
  <c r="E14" i="19"/>
  <c r="G7" i="21"/>
  <c r="AA157" i="24"/>
  <c r="AA210" i="20"/>
  <c r="AA230" i="19"/>
  <c r="AA451" i="28"/>
  <c r="AE228" i="21"/>
  <c r="AA377" i="21"/>
  <c r="E16" i="21"/>
  <c r="AA423" i="22"/>
  <c r="AA393" i="19"/>
  <c r="AE214" i="26"/>
  <c r="AE235" i="24"/>
  <c r="AA177" i="23"/>
  <c r="AF151" i="29"/>
  <c r="B30" i="31"/>
  <c r="AA175" i="25"/>
  <c r="AE221" i="23"/>
  <c r="AE218" i="25"/>
  <c r="A47" i="26"/>
  <c r="AA237" i="22"/>
  <c r="I13" i="24"/>
  <c r="AA425" i="3"/>
  <c r="AA247" i="26"/>
  <c r="A19" i="14"/>
  <c r="AA417" i="27"/>
  <c r="B305" i="22"/>
  <c r="B13" i="27"/>
  <c r="AG241" i="25"/>
  <c r="D300" i="25"/>
  <c r="AH154" i="21"/>
  <c r="AA449" i="29"/>
  <c r="D22" i="17"/>
  <c r="AA199" i="26"/>
  <c r="AE241" i="22"/>
  <c r="AF151" i="26"/>
  <c r="A11" i="4"/>
  <c r="I15" i="23"/>
  <c r="AF314" i="24"/>
  <c r="AA374" i="28"/>
  <c r="AA174" i="24"/>
  <c r="E302" i="29"/>
  <c r="AE38" i="25"/>
  <c r="AE36" i="22"/>
  <c r="AE228" i="19"/>
  <c r="A48" i="26"/>
  <c r="E299" i="19"/>
  <c r="A46" i="19"/>
  <c r="AA317" i="27"/>
  <c r="AA171" i="25"/>
  <c r="A300" i="26"/>
  <c r="AA189" i="19"/>
  <c r="AA387" i="24"/>
  <c r="G7" i="28"/>
  <c r="E13" i="24"/>
  <c r="A260" i="26"/>
  <c r="AA419" i="20"/>
  <c r="AE234" i="21"/>
  <c r="AA383" i="27"/>
  <c r="AA324" i="22"/>
  <c r="B21" i="31"/>
  <c r="G262" i="19"/>
  <c r="AA379" i="24"/>
  <c r="B15" i="20"/>
  <c r="AA384" i="23"/>
  <c r="AA234" i="21"/>
  <c r="G262" i="20"/>
  <c r="D70" i="4"/>
  <c r="AA177" i="22"/>
  <c r="H13" i="24"/>
  <c r="E299" i="29"/>
  <c r="B300" i="19"/>
  <c r="B307" i="23"/>
  <c r="AA329" i="19"/>
  <c r="F15" i="27"/>
  <c r="A1" i="18"/>
  <c r="F18" i="23"/>
  <c r="B24" i="14"/>
  <c r="AA36" i="3"/>
  <c r="AE207" i="29"/>
  <c r="AG230" i="27"/>
  <c r="AA175" i="28"/>
  <c r="AA39" i="23"/>
  <c r="B108" i="31"/>
  <c r="A39" i="4"/>
  <c r="AA148" i="19"/>
  <c r="AA182" i="22"/>
  <c r="AA216" i="25"/>
  <c r="AA161" i="23"/>
  <c r="D304" i="25"/>
  <c r="AG230" i="25"/>
  <c r="AA423" i="28"/>
  <c r="I16" i="28"/>
  <c r="AA185" i="19"/>
  <c r="D305" i="28"/>
  <c r="AE226" i="25"/>
  <c r="C304" i="28"/>
  <c r="C17" i="20"/>
  <c r="AG372" i="19"/>
  <c r="I17" i="23"/>
  <c r="I146" i="21"/>
  <c r="AA181" i="3"/>
  <c r="AJ154" i="24"/>
  <c r="AA178" i="23"/>
  <c r="AA432" i="29"/>
  <c r="G13" i="29"/>
  <c r="D16" i="24"/>
  <c r="AA175" i="27"/>
  <c r="AA438" i="21"/>
  <c r="AA419" i="26"/>
  <c r="AA370" i="28"/>
  <c r="B15" i="22"/>
  <c r="AA411" i="28"/>
  <c r="B300" i="23"/>
  <c r="AA423" i="27"/>
  <c r="AE236" i="20"/>
  <c r="AA173" i="25"/>
  <c r="A48" i="25"/>
  <c r="AA204" i="19"/>
  <c r="AA374" i="19"/>
  <c r="AA328" i="21"/>
  <c r="B80" i="4"/>
  <c r="AA436" i="19"/>
  <c r="AE217" i="25"/>
  <c r="G14" i="23"/>
  <c r="AA329" i="26"/>
  <c r="E304" i="26"/>
  <c r="AA332" i="24"/>
  <c r="C13" i="28"/>
  <c r="AE211" i="3"/>
  <c r="AA379" i="26"/>
  <c r="I145" i="26"/>
  <c r="AE241" i="3"/>
  <c r="AA184" i="25"/>
  <c r="B44" i="31"/>
  <c r="F14" i="29"/>
  <c r="AA159" i="27"/>
  <c r="F13" i="22"/>
  <c r="AA245" i="22"/>
  <c r="AF32" i="22"/>
  <c r="P307" i="26"/>
  <c r="AA321" i="26"/>
  <c r="AA159" i="26"/>
  <c r="D15" i="29"/>
  <c r="B51" i="31"/>
  <c r="AA37" i="23"/>
  <c r="AA218" i="20"/>
  <c r="AA402" i="26"/>
  <c r="AA438" i="26"/>
  <c r="AI227" i="29"/>
  <c r="AA325" i="28"/>
  <c r="AA383" i="24"/>
  <c r="AA399" i="26"/>
  <c r="B306" i="29"/>
  <c r="AA312" i="19"/>
  <c r="AA152" i="21"/>
  <c r="C17" i="19"/>
  <c r="D306" i="28"/>
  <c r="B62" i="31"/>
  <c r="AE211" i="22"/>
  <c r="AE314" i="29"/>
  <c r="AE41" i="26"/>
  <c r="C16" i="22"/>
  <c r="A295" i="26"/>
  <c r="AG220" i="27"/>
  <c r="AA178" i="19"/>
  <c r="AE211" i="24"/>
  <c r="AI199" i="22"/>
  <c r="AE206" i="3"/>
  <c r="AE209" i="29"/>
  <c r="D18" i="23"/>
  <c r="AA410" i="27"/>
  <c r="AA234" i="29"/>
  <c r="AA33" i="3"/>
  <c r="AA43" i="20"/>
  <c r="A18" i="4"/>
  <c r="AA456" i="22"/>
  <c r="AA25" i="21"/>
  <c r="A30" i="14"/>
  <c r="F13" i="26"/>
  <c r="AG221" i="22"/>
  <c r="AA415" i="23"/>
  <c r="C304" i="26"/>
  <c r="A64" i="4"/>
  <c r="H16" i="19"/>
  <c r="AA211" i="19"/>
  <c r="A47" i="21"/>
  <c r="G14" i="27"/>
  <c r="AA213" i="19"/>
  <c r="AE36" i="23"/>
  <c r="A36" i="4"/>
  <c r="AE216" i="25"/>
  <c r="C305" i="27"/>
  <c r="AA189" i="23"/>
  <c r="AA2" i="25"/>
  <c r="AE204" i="20"/>
  <c r="F17" i="20"/>
  <c r="AA325" i="21"/>
  <c r="D305" i="23"/>
  <c r="AA370" i="27"/>
  <c r="AA178" i="22"/>
  <c r="D301" i="25"/>
  <c r="AA204" i="21"/>
  <c r="C303" i="19"/>
  <c r="A263" i="26"/>
  <c r="AA207" i="25"/>
  <c r="AH151" i="21"/>
  <c r="D262" i="24"/>
  <c r="AA204" i="29"/>
  <c r="AE228" i="27"/>
  <c r="AE202" i="26"/>
  <c r="AA376" i="21"/>
  <c r="A301" i="20"/>
  <c r="AA161" i="25"/>
  <c r="B262" i="20"/>
  <c r="D262" i="21"/>
  <c r="AE207" i="20"/>
  <c r="C18" i="28"/>
  <c r="B262" i="27"/>
  <c r="AA239" i="28"/>
  <c r="AE247" i="25"/>
  <c r="AA393" i="29"/>
  <c r="D306" i="22"/>
  <c r="AA375" i="3"/>
  <c r="F15" i="3"/>
  <c r="C11" i="17"/>
  <c r="AA187" i="24"/>
  <c r="I262" i="23"/>
  <c r="AF35" i="28"/>
  <c r="AE221" i="25"/>
  <c r="C300" i="27"/>
  <c r="AA412" i="3"/>
  <c r="AA236" i="26"/>
  <c r="G97" i="4"/>
  <c r="E305" i="20"/>
  <c r="AA146" i="22"/>
  <c r="AA215" i="22"/>
  <c r="AG36" i="23"/>
  <c r="G5" i="28"/>
  <c r="AA194" i="21"/>
  <c r="AA375" i="26"/>
  <c r="AA407" i="28"/>
  <c r="B302" i="28"/>
  <c r="AA176" i="26"/>
  <c r="AA44" i="24"/>
  <c r="C13" i="24"/>
  <c r="E17" i="19"/>
  <c r="A6" i="17"/>
  <c r="AD314" i="21"/>
  <c r="AA20" i="19"/>
  <c r="AE236" i="21"/>
  <c r="B301" i="3"/>
  <c r="A41" i="4"/>
  <c r="AG151" i="19"/>
  <c r="A48" i="21"/>
  <c r="A260" i="3"/>
  <c r="D303" i="29"/>
  <c r="H16" i="26"/>
  <c r="I14" i="21"/>
  <c r="AA247" i="19"/>
  <c r="D303" i="28"/>
  <c r="B307" i="21"/>
  <c r="A87" i="4"/>
  <c r="AA30" i="26"/>
  <c r="B301" i="27"/>
  <c r="AA318" i="28"/>
  <c r="E16" i="26"/>
  <c r="AA319" i="19"/>
  <c r="A303" i="29"/>
  <c r="AA189" i="28"/>
  <c r="E304" i="22"/>
  <c r="AA245" i="3"/>
  <c r="AA217" i="29"/>
  <c r="AJ151" i="24"/>
  <c r="G262" i="21"/>
  <c r="AA161" i="29"/>
  <c r="C14" i="22"/>
  <c r="AJ151" i="3"/>
  <c r="B18" i="27"/>
  <c r="A17" i="17"/>
  <c r="A259" i="3"/>
  <c r="D15" i="28"/>
  <c r="A303" i="26"/>
  <c r="AA322" i="28"/>
  <c r="AJ151" i="19"/>
  <c r="A299" i="19"/>
  <c r="AA161" i="3"/>
  <c r="H1" i="23"/>
  <c r="B26" i="31"/>
  <c r="E17" i="3"/>
  <c r="AI217" i="22"/>
  <c r="AF33" i="19"/>
  <c r="Q302" i="26"/>
  <c r="AA199" i="20"/>
  <c r="D13" i="15"/>
  <c r="B262" i="19"/>
  <c r="AA201" i="25"/>
  <c r="G15" i="22"/>
  <c r="AF314" i="27"/>
  <c r="AA457" i="27"/>
  <c r="F13" i="28"/>
  <c r="A303" i="24"/>
  <c r="AE247" i="22"/>
  <c r="AA376" i="24"/>
  <c r="AA402" i="23"/>
  <c r="E302" i="19"/>
  <c r="A301" i="3"/>
  <c r="AH154" i="27"/>
  <c r="AE235" i="22"/>
  <c r="D304" i="26"/>
  <c r="AA316" i="28"/>
  <c r="A306" i="28"/>
  <c r="G7" i="18"/>
  <c r="D303" i="27"/>
  <c r="B87" i="4"/>
  <c r="A93" i="4"/>
  <c r="AE206" i="29"/>
  <c r="AA325" i="20"/>
  <c r="AA215" i="27"/>
  <c r="AA383" i="20"/>
  <c r="AG372" i="27"/>
  <c r="A46" i="28"/>
  <c r="AA373" i="21"/>
  <c r="I16" i="25"/>
  <c r="AE38" i="21"/>
  <c r="AF34" i="3"/>
  <c r="AE29" i="20"/>
  <c r="B102" i="31"/>
  <c r="AE27" i="25"/>
  <c r="H14" i="29"/>
  <c r="AA456" i="23"/>
  <c r="AA372" i="19"/>
  <c r="E301" i="26"/>
  <c r="D301" i="3"/>
  <c r="AA433" i="24"/>
  <c r="AA155" i="25"/>
  <c r="AA321" i="24"/>
  <c r="E262" i="3"/>
  <c r="A262" i="24"/>
  <c r="AA236" i="19"/>
  <c r="E13" i="27"/>
  <c r="AE203" i="28"/>
  <c r="AA376" i="29"/>
  <c r="D16" i="23"/>
  <c r="A307" i="29"/>
  <c r="AA328" i="23"/>
  <c r="AA148" i="22"/>
  <c r="AA377" i="24"/>
  <c r="C307" i="20"/>
  <c r="AA231" i="23"/>
  <c r="D19" i="15"/>
  <c r="D16" i="28"/>
  <c r="AG372" i="28"/>
  <c r="AA332" i="23"/>
  <c r="AA432" i="21"/>
  <c r="AA37" i="25"/>
  <c r="AE29" i="28"/>
  <c r="E305" i="26"/>
  <c r="H14" i="23"/>
  <c r="B301" i="19"/>
  <c r="AA328" i="20"/>
  <c r="AA236" i="22"/>
  <c r="B17" i="21"/>
  <c r="AA203" i="24"/>
  <c r="A19" i="28"/>
  <c r="E307" i="24"/>
  <c r="AI151" i="3"/>
  <c r="AA178" i="21"/>
  <c r="C304" i="23"/>
  <c r="I262" i="19"/>
  <c r="AA428" i="27"/>
  <c r="C262" i="19"/>
  <c r="AE216" i="23"/>
  <c r="Q307" i="21"/>
  <c r="I14" i="3"/>
  <c r="AA329" i="20"/>
  <c r="B45" i="31"/>
  <c r="AA412" i="20"/>
  <c r="B15" i="14"/>
  <c r="AE225" i="25"/>
  <c r="AE225" i="20"/>
  <c r="AA390" i="26"/>
  <c r="AE214" i="19"/>
  <c r="B262" i="23"/>
  <c r="C299" i="29"/>
  <c r="AB375" i="21"/>
  <c r="AA440" i="28"/>
  <c r="AI154" i="29"/>
  <c r="H60" i="4"/>
  <c r="A305" i="29"/>
  <c r="C299" i="21"/>
  <c r="AA393" i="28"/>
  <c r="AJ150" i="19"/>
  <c r="A260" i="21"/>
  <c r="C300" i="19"/>
  <c r="AA175" i="24"/>
  <c r="AE41" i="25"/>
  <c r="AA436" i="25"/>
  <c r="AA215" i="28"/>
  <c r="AA217" i="19"/>
  <c r="AA28" i="28"/>
  <c r="G63" i="4"/>
  <c r="AA444" i="20"/>
  <c r="AA428" i="28"/>
  <c r="C18" i="21"/>
  <c r="AG151" i="28"/>
  <c r="A22" i="14"/>
  <c r="AA437" i="22"/>
  <c r="G15" i="29"/>
  <c r="B305" i="29"/>
  <c r="AA430" i="23"/>
  <c r="AA376" i="25"/>
  <c r="AG221" i="21"/>
  <c r="AA313" i="20"/>
  <c r="AA333" i="3"/>
  <c r="AB155" i="26"/>
  <c r="D307" i="22"/>
  <c r="AA45" i="27"/>
  <c r="AA385" i="24"/>
  <c r="B304" i="23"/>
  <c r="AA194" i="22"/>
  <c r="AE217" i="21"/>
  <c r="AE39" i="3"/>
  <c r="AJ154" i="27"/>
  <c r="A298" i="23"/>
  <c r="E307" i="21"/>
  <c r="AA175" i="21"/>
  <c r="AE234" i="29"/>
  <c r="AA245" i="23"/>
  <c r="AI237" i="3"/>
  <c r="AE231" i="19"/>
  <c r="AA387" i="26"/>
  <c r="AA372" i="26"/>
  <c r="G5" i="23"/>
  <c r="I46" i="26"/>
  <c r="A301" i="28"/>
  <c r="AA384" i="27"/>
  <c r="D14" i="19"/>
  <c r="C300" i="25"/>
  <c r="AA309" i="20"/>
  <c r="AA425" i="29"/>
  <c r="AG314" i="19"/>
  <c r="AA324" i="29"/>
  <c r="AA444" i="29"/>
  <c r="B301" i="20"/>
  <c r="H14" i="27"/>
  <c r="C301" i="29"/>
  <c r="AA320" i="29"/>
  <c r="AA220" i="24"/>
  <c r="AI25" i="23"/>
  <c r="AE151" i="3"/>
  <c r="AE32" i="24"/>
  <c r="AA451" i="29"/>
  <c r="AE25" i="28"/>
  <c r="E299" i="25"/>
  <c r="AE210" i="21"/>
  <c r="B302" i="25"/>
  <c r="D16" i="27"/>
  <c r="AE230" i="26"/>
  <c r="AA380" i="25"/>
  <c r="AI372" i="20"/>
  <c r="AA377" i="28"/>
  <c r="AA28" i="24"/>
  <c r="B74" i="4"/>
  <c r="AI151" i="29"/>
  <c r="AA172" i="29"/>
  <c r="AA166" i="20"/>
  <c r="B69" i="31"/>
  <c r="G113" i="4"/>
  <c r="AA22" i="27"/>
  <c r="B302" i="21"/>
  <c r="AA20" i="24"/>
  <c r="AI244" i="3"/>
  <c r="H15" i="20"/>
  <c r="P307" i="19"/>
  <c r="AA316" i="24"/>
  <c r="AA34" i="26"/>
  <c r="D17" i="27"/>
  <c r="AA183" i="19"/>
  <c r="AA25" i="3"/>
  <c r="AA34" i="22"/>
  <c r="AA42" i="23"/>
  <c r="E18" i="19"/>
  <c r="AA387" i="27"/>
  <c r="H13" i="19"/>
  <c r="AA314" i="26"/>
  <c r="AA406" i="29"/>
  <c r="B5" i="22"/>
  <c r="A298" i="25"/>
  <c r="AA238" i="23"/>
  <c r="A298" i="26"/>
  <c r="AE246" i="21"/>
  <c r="AE25" i="19"/>
  <c r="AA42" i="29"/>
  <c r="D17" i="28"/>
  <c r="A300" i="23"/>
  <c r="AA444" i="22"/>
  <c r="A15" i="17"/>
  <c r="AF154" i="27"/>
  <c r="D307" i="20"/>
  <c r="AE220" i="29"/>
  <c r="AA239" i="20"/>
  <c r="C305" i="25"/>
  <c r="AA209" i="27"/>
  <c r="AE38" i="29"/>
  <c r="AA385" i="20"/>
  <c r="G17" i="25"/>
  <c r="AA220" i="22"/>
  <c r="D307" i="25"/>
  <c r="AC375" i="27"/>
  <c r="AA200" i="23"/>
  <c r="AF314" i="19"/>
  <c r="AA200" i="3"/>
  <c r="AA417" i="26"/>
  <c r="AA224" i="22"/>
  <c r="B18" i="26"/>
  <c r="AE215" i="25"/>
  <c r="AA146" i="21"/>
  <c r="G13" i="26"/>
  <c r="AA244" i="3"/>
  <c r="C301" i="24"/>
  <c r="AA236" i="20"/>
  <c r="AI244" i="21"/>
  <c r="AA411" i="21"/>
  <c r="AA375" i="29"/>
  <c r="AA370" i="25"/>
  <c r="C15" i="29"/>
  <c r="AA432" i="26"/>
  <c r="AA415" i="3"/>
  <c r="Q302" i="22"/>
  <c r="F16" i="21"/>
  <c r="AA217" i="24"/>
  <c r="AF33" i="27"/>
  <c r="AA329" i="21"/>
  <c r="A307" i="3"/>
  <c r="AA240" i="19"/>
  <c r="AA176" i="24"/>
  <c r="AE219" i="19"/>
  <c r="AE27" i="3"/>
  <c r="AE235" i="23"/>
  <c r="AE247" i="28"/>
  <c r="AE30" i="25"/>
  <c r="AA151" i="26"/>
  <c r="AA382" i="23"/>
  <c r="AE235" i="25"/>
  <c r="AA219" i="24"/>
  <c r="AA409" i="28"/>
  <c r="AG230" i="28"/>
  <c r="C306" i="25"/>
  <c r="B16" i="19"/>
  <c r="AA172" i="20"/>
  <c r="G7" i="23"/>
  <c r="AA210" i="21"/>
  <c r="A17" i="18"/>
  <c r="AA371" i="22"/>
  <c r="E305" i="28"/>
  <c r="AA226" i="25"/>
  <c r="AF39" i="21"/>
  <c r="AA419" i="21"/>
  <c r="AA226" i="28"/>
  <c r="AA27" i="20"/>
  <c r="E299" i="20"/>
  <c r="AA373" i="3"/>
  <c r="C303" i="20"/>
  <c r="AA182" i="25"/>
  <c r="AA178" i="29"/>
  <c r="AE449" i="19"/>
  <c r="AA2" i="28"/>
  <c r="AA228" i="28"/>
  <c r="AA312" i="29"/>
  <c r="F14" i="19"/>
  <c r="I262" i="28"/>
  <c r="AA423" i="21"/>
  <c r="AE216" i="3"/>
  <c r="B85" i="31"/>
  <c r="AE226" i="3"/>
  <c r="AA320" i="22"/>
  <c r="AA393" i="21"/>
  <c r="AA324" i="26"/>
  <c r="B306" i="19"/>
  <c r="B301" i="22"/>
  <c r="AE247" i="20"/>
  <c r="AA425" i="20"/>
  <c r="I18" i="21"/>
  <c r="AE220" i="27"/>
  <c r="AA159" i="28"/>
  <c r="A12" i="18"/>
  <c r="AA148" i="24"/>
  <c r="AA207" i="29"/>
  <c r="AF35" i="21"/>
  <c r="AA317" i="3"/>
  <c r="B15" i="19"/>
  <c r="AA172" i="3"/>
  <c r="G7" i="25"/>
  <c r="AF154" i="22"/>
  <c r="B35" i="31"/>
  <c r="D302" i="29"/>
  <c r="AA189" i="26"/>
  <c r="AI154" i="25"/>
  <c r="D17" i="29"/>
  <c r="G7" i="3"/>
  <c r="D17" i="20"/>
  <c r="AE247" i="19"/>
  <c r="AE216" i="26"/>
  <c r="AA178" i="26"/>
  <c r="H1" i="27"/>
  <c r="AA213" i="20"/>
  <c r="AA328" i="25"/>
  <c r="AA41" i="29"/>
  <c r="AE211" i="20"/>
  <c r="AE229" i="27"/>
  <c r="AB375" i="23"/>
  <c r="AA324" i="25"/>
  <c r="AA148" i="25"/>
  <c r="AA31" i="25"/>
  <c r="AA316" i="29"/>
  <c r="AA43" i="19"/>
  <c r="AE449" i="20"/>
  <c r="G6" i="27"/>
  <c r="Q302" i="28"/>
  <c r="F15" i="21"/>
  <c r="AA146" i="19"/>
  <c r="AA327" i="26"/>
  <c r="H262" i="22"/>
  <c r="A46" i="23"/>
  <c r="E18" i="22"/>
  <c r="AA444" i="19"/>
  <c r="AA372" i="29"/>
  <c r="B14" i="21"/>
  <c r="AA421" i="28"/>
  <c r="AA194" i="3"/>
  <c r="AA201" i="24"/>
  <c r="AA202" i="23"/>
  <c r="AA387" i="29"/>
  <c r="AE204" i="23"/>
  <c r="B71" i="31"/>
  <c r="AE204" i="22"/>
  <c r="AE230" i="22"/>
  <c r="C306" i="3"/>
  <c r="AA31" i="28"/>
  <c r="AA29" i="21"/>
  <c r="AA378" i="25"/>
  <c r="AA178" i="28"/>
  <c r="AE218" i="22"/>
  <c r="AA180" i="27"/>
  <c r="AA2" i="24"/>
  <c r="AA216" i="28"/>
  <c r="D17" i="17"/>
  <c r="AC375" i="26"/>
  <c r="D15" i="27"/>
  <c r="AE32" i="3"/>
  <c r="AE231" i="24"/>
  <c r="AE237" i="25"/>
  <c r="AG151" i="3"/>
  <c r="H18" i="29"/>
  <c r="AA414" i="26"/>
  <c r="AA225" i="19"/>
  <c r="AE221" i="22"/>
  <c r="C19" i="14"/>
  <c r="D299" i="25"/>
  <c r="G14" i="29"/>
  <c r="AA177" i="3"/>
  <c r="AA170" i="25"/>
  <c r="AA157" i="28"/>
  <c r="B12" i="28"/>
  <c r="B29" i="14"/>
  <c r="AG220" i="19"/>
  <c r="AA201" i="21"/>
  <c r="AF32" i="20"/>
  <c r="AA327" i="20"/>
  <c r="AE219" i="22"/>
  <c r="B15" i="21"/>
  <c r="B80" i="31"/>
  <c r="AA412" i="24"/>
  <c r="G16" i="26"/>
  <c r="AI217" i="23"/>
  <c r="AE151" i="22"/>
  <c r="AA231" i="21"/>
  <c r="AA158" i="22"/>
  <c r="AI244" i="28"/>
  <c r="AA218" i="23"/>
  <c r="AA238" i="27"/>
  <c r="AI237" i="22"/>
  <c r="F13" i="20"/>
  <c r="D302" i="24"/>
  <c r="AA436" i="20"/>
  <c r="AI27" i="22"/>
  <c r="AE35" i="26"/>
  <c r="AA214" i="19"/>
  <c r="H13" i="23"/>
  <c r="AA437" i="29"/>
  <c r="E17" i="25"/>
  <c r="F13" i="19"/>
  <c r="AA173" i="20"/>
  <c r="AA203" i="21"/>
  <c r="AA38" i="28"/>
  <c r="AE217" i="20"/>
  <c r="AA328" i="24"/>
  <c r="AE226" i="24"/>
  <c r="G262" i="27"/>
  <c r="AA164" i="24"/>
  <c r="AA430" i="25"/>
  <c r="E15" i="29"/>
  <c r="I14" i="22"/>
  <c r="AA182" i="24"/>
  <c r="AA376" i="22"/>
  <c r="AA406" i="24"/>
  <c r="AA239" i="19"/>
  <c r="B17" i="31"/>
  <c r="AA230" i="27"/>
  <c r="B6" i="25"/>
  <c r="B300" i="24"/>
  <c r="AF33" i="25"/>
  <c r="AA415" i="24"/>
  <c r="B74" i="31"/>
  <c r="AA187" i="20"/>
  <c r="AE35" i="23"/>
  <c r="G15" i="23"/>
  <c r="AE43" i="27"/>
  <c r="I262" i="22"/>
  <c r="I146" i="25"/>
  <c r="AA428" i="24"/>
  <c r="AI151" i="27"/>
  <c r="AA162" i="3"/>
  <c r="AG230" i="29"/>
  <c r="C13" i="23"/>
  <c r="AA316" i="27"/>
  <c r="G13" i="23"/>
  <c r="A306" i="27"/>
  <c r="AD314" i="27"/>
  <c r="AE210" i="26"/>
  <c r="AI217" i="26"/>
  <c r="P307" i="23"/>
  <c r="AE218" i="26"/>
  <c r="G18" i="25"/>
  <c r="B18" i="24"/>
  <c r="AA371" i="27"/>
  <c r="AE204" i="29"/>
  <c r="AE209" i="21"/>
  <c r="AA165" i="3"/>
  <c r="AE221" i="27"/>
  <c r="AA213" i="26"/>
  <c r="AE229" i="28"/>
  <c r="I18" i="28"/>
  <c r="B300" i="27"/>
  <c r="AA146" i="27"/>
  <c r="AA239" i="26"/>
  <c r="C302" i="23"/>
  <c r="G6" i="26"/>
  <c r="AI27" i="27"/>
  <c r="AI217" i="28"/>
  <c r="AI27" i="26"/>
  <c r="AH151" i="25"/>
  <c r="A304" i="27"/>
  <c r="D13" i="27"/>
  <c r="AA166" i="26"/>
  <c r="B28" i="14"/>
  <c r="AG154" i="29"/>
  <c r="AA167" i="25"/>
  <c r="AA26" i="20"/>
  <c r="I16" i="27"/>
  <c r="AF154" i="19"/>
  <c r="AA384" i="19"/>
  <c r="AE31" i="29"/>
  <c r="AA166" i="23"/>
  <c r="AA155" i="27"/>
  <c r="AA244" i="20"/>
  <c r="G6" i="19"/>
  <c r="A13" i="14"/>
  <c r="AE209" i="24"/>
  <c r="AA226" i="3"/>
  <c r="AE239" i="3"/>
  <c r="AA204" i="26"/>
  <c r="A11" i="17"/>
  <c r="AE202" i="25"/>
  <c r="AF35" i="3"/>
  <c r="AI20" i="26"/>
  <c r="AA159" i="29"/>
  <c r="I13" i="28"/>
  <c r="AA151" i="23"/>
  <c r="AE449" i="23"/>
  <c r="E305" i="21"/>
  <c r="AA236" i="3"/>
  <c r="AH151" i="22"/>
  <c r="E304" i="23"/>
  <c r="B303" i="20"/>
  <c r="AA22" i="19"/>
  <c r="E303" i="24"/>
  <c r="C14" i="25"/>
  <c r="E16" i="25"/>
  <c r="D18" i="15"/>
  <c r="AA384" i="26"/>
  <c r="B305" i="24"/>
  <c r="AA322" i="22"/>
  <c r="AE206" i="19"/>
  <c r="B15" i="24"/>
  <c r="AA216" i="29"/>
  <c r="AE241" i="21"/>
  <c r="C18" i="23"/>
  <c r="AA25" i="23"/>
  <c r="AA370" i="29"/>
  <c r="AJ151" i="27"/>
  <c r="AA414" i="23"/>
  <c r="AF33" i="24"/>
  <c r="AA404" i="27"/>
  <c r="H262" i="27"/>
  <c r="C304" i="22"/>
  <c r="D15" i="24"/>
  <c r="A95" i="4"/>
  <c r="C302" i="21"/>
  <c r="AA183" i="24"/>
  <c r="AC375" i="22"/>
  <c r="AA402" i="29"/>
  <c r="D307" i="29"/>
  <c r="AA324" i="24"/>
  <c r="AA421" i="27"/>
  <c r="C299" i="23"/>
  <c r="B261" i="25"/>
  <c r="AA375" i="28"/>
  <c r="A79" i="4"/>
  <c r="AC375" i="21"/>
  <c r="AA165" i="19"/>
  <c r="AA184" i="23"/>
  <c r="AA372" i="21"/>
  <c r="AE209" i="23"/>
  <c r="AA436" i="29"/>
  <c r="A65" i="4"/>
  <c r="A1" i="31"/>
  <c r="D302" i="20"/>
  <c r="E14" i="27"/>
  <c r="AA202" i="22"/>
  <c r="AA241" i="25"/>
  <c r="AA407" i="3"/>
  <c r="E18" i="25"/>
  <c r="E299" i="28"/>
  <c r="AE235" i="27"/>
  <c r="B54" i="31"/>
  <c r="F13" i="29"/>
  <c r="AA174" i="22"/>
  <c r="E15" i="27"/>
  <c r="B261" i="29"/>
  <c r="E302" i="20"/>
  <c r="F15" i="29"/>
  <c r="AE219" i="23"/>
  <c r="AA37" i="26"/>
  <c r="AA164" i="3"/>
  <c r="AA247" i="23"/>
  <c r="I259" i="26"/>
  <c r="B302" i="3"/>
  <c r="AA321" i="20"/>
  <c r="AE230" i="24"/>
  <c r="A90" i="4"/>
  <c r="AF33" i="22"/>
  <c r="AA194" i="23"/>
  <c r="AA178" i="25"/>
  <c r="AA331" i="27"/>
  <c r="AA333" i="28"/>
  <c r="AE237" i="29"/>
  <c r="E13" i="3"/>
  <c r="AA378" i="20"/>
  <c r="AA1" i="27"/>
  <c r="A295" i="21"/>
  <c r="AA392" i="25"/>
  <c r="AA440" i="25"/>
  <c r="G5" i="26"/>
  <c r="AE231" i="22"/>
  <c r="AA231" i="22"/>
  <c r="AA412" i="27"/>
  <c r="AA226" i="19"/>
  <c r="A32" i="14"/>
  <c r="D14" i="24"/>
  <c r="AF151" i="25"/>
  <c r="AA247" i="24"/>
  <c r="AA37" i="3"/>
  <c r="AA44" i="20"/>
  <c r="AA234" i="19"/>
  <c r="AF34" i="27"/>
  <c r="F16" i="24"/>
  <c r="E305" i="24"/>
  <c r="AA25" i="25"/>
  <c r="AE35" i="24"/>
  <c r="AE34" i="22"/>
  <c r="AA399" i="22"/>
  <c r="AA436" i="28"/>
  <c r="A4" i="18"/>
  <c r="F16" i="29"/>
  <c r="B15" i="27"/>
  <c r="E13" i="23"/>
  <c r="AA235" i="25"/>
  <c r="AA202" i="29"/>
  <c r="AF34" i="19"/>
  <c r="AB155" i="29"/>
  <c r="AA186" i="3"/>
  <c r="AA220" i="29"/>
  <c r="AA176" i="25"/>
  <c r="A16" i="4"/>
  <c r="G13" i="25"/>
  <c r="G14" i="3"/>
  <c r="AA374" i="21"/>
  <c r="AA201" i="27"/>
  <c r="AI154" i="23"/>
  <c r="AA231" i="27"/>
  <c r="AA227" i="21"/>
  <c r="AH154" i="3"/>
  <c r="AG372" i="20"/>
  <c r="B301" i="28"/>
  <c r="AA384" i="3"/>
  <c r="A301" i="19"/>
  <c r="AA331" i="24"/>
  <c r="E17" i="29"/>
  <c r="C300" i="3"/>
  <c r="C305" i="29"/>
  <c r="AA387" i="3"/>
  <c r="A19" i="23"/>
  <c r="C17" i="24"/>
  <c r="D262" i="29"/>
  <c r="AA419" i="25"/>
  <c r="A19" i="17"/>
  <c r="AE35" i="3"/>
  <c r="AA1" i="26"/>
  <c r="A300" i="21"/>
  <c r="AG154" i="24"/>
  <c r="AA217" i="28"/>
  <c r="AA239" i="3"/>
  <c r="C17" i="27"/>
  <c r="G9" i="18"/>
  <c r="AA312" i="20"/>
  <c r="C305" i="28"/>
  <c r="AA321" i="25"/>
  <c r="AA203" i="22"/>
  <c r="AA181" i="26"/>
  <c r="AE228" i="20"/>
  <c r="D16" i="25"/>
  <c r="AF35" i="23"/>
  <c r="F17" i="21"/>
  <c r="AE29" i="24"/>
  <c r="C301" i="23"/>
  <c r="AA409" i="23"/>
  <c r="AA149" i="19"/>
  <c r="I15" i="29"/>
  <c r="B261" i="3"/>
  <c r="AA239" i="22"/>
  <c r="AE28" i="20"/>
  <c r="AA377" i="20"/>
  <c r="I145" i="28"/>
  <c r="AE214" i="3"/>
  <c r="AE151" i="23"/>
  <c r="D307" i="21"/>
  <c r="AF154" i="20"/>
  <c r="AA241" i="24"/>
  <c r="A19" i="4"/>
  <c r="C307" i="25"/>
  <c r="Q302" i="24"/>
  <c r="AA419" i="28"/>
  <c r="D262" i="27"/>
  <c r="AI244" i="22"/>
  <c r="AA206" i="24"/>
  <c r="B307" i="22"/>
  <c r="AE231" i="20"/>
  <c r="AA322" i="26"/>
  <c r="AA235" i="26"/>
  <c r="B9" i="14"/>
  <c r="AI237" i="23"/>
  <c r="AA326" i="25"/>
  <c r="B7" i="23"/>
  <c r="AA228" i="26"/>
  <c r="AI244" i="27"/>
  <c r="AE23" i="19"/>
  <c r="H262" i="19"/>
  <c r="AA408" i="19"/>
  <c r="AF161" i="29"/>
  <c r="AG314" i="20"/>
  <c r="I145" i="3"/>
  <c r="C304" i="3"/>
  <c r="AE206" i="25"/>
  <c r="Q307" i="19"/>
  <c r="AA407" i="23"/>
  <c r="AA321" i="27"/>
  <c r="E299" i="26"/>
  <c r="AF37" i="21"/>
  <c r="AA149" i="3"/>
  <c r="E16" i="23"/>
  <c r="A305" i="24"/>
  <c r="AA228" i="19"/>
  <c r="AE227" i="27"/>
  <c r="AA436" i="24"/>
  <c r="B17" i="26"/>
  <c r="AA185" i="21"/>
  <c r="A47" i="24"/>
  <c r="AE216" i="27"/>
  <c r="AE29" i="29"/>
  <c r="D16" i="21"/>
  <c r="AA37" i="24"/>
  <c r="AE230" i="3"/>
  <c r="AA406" i="3"/>
  <c r="AG154" i="25"/>
  <c r="AA421" i="29"/>
  <c r="AA457" i="21"/>
  <c r="H16" i="20"/>
  <c r="AA247" i="3"/>
  <c r="AE220" i="20"/>
  <c r="A11" i="18"/>
  <c r="A259" i="26"/>
  <c r="C301" i="20"/>
  <c r="D300" i="23"/>
  <c r="C306" i="28"/>
  <c r="AA221" i="26"/>
  <c r="AE218" i="28"/>
  <c r="D304" i="20"/>
  <c r="B14" i="23"/>
  <c r="C299" i="19"/>
  <c r="AG240" i="21"/>
  <c r="AE209" i="19"/>
  <c r="A16" i="18"/>
  <c r="D15" i="15"/>
  <c r="AE151" i="26"/>
  <c r="AA234" i="22"/>
  <c r="B32" i="31"/>
  <c r="AE215" i="24"/>
  <c r="AF151" i="22"/>
  <c r="P307" i="22"/>
  <c r="AA211" i="23"/>
  <c r="AA146" i="23"/>
  <c r="AE38" i="27"/>
  <c r="D14" i="22"/>
  <c r="B305" i="27"/>
  <c r="AA189" i="29"/>
  <c r="E303" i="26"/>
  <c r="AA224" i="23"/>
  <c r="AG230" i="26"/>
  <c r="D300" i="3"/>
  <c r="AA185" i="22"/>
  <c r="AA408" i="21"/>
  <c r="E306" i="28"/>
  <c r="C14" i="26"/>
  <c r="C16" i="26"/>
  <c r="AA385" i="22"/>
  <c r="AA229" i="20"/>
  <c r="AA174" i="25"/>
  <c r="G7" i="24"/>
  <c r="B106" i="4"/>
  <c r="C304" i="21"/>
  <c r="D17" i="15"/>
  <c r="AA148" i="21"/>
  <c r="A301" i="26"/>
  <c r="AA225" i="28"/>
  <c r="AA160" i="27"/>
  <c r="I146" i="26"/>
  <c r="AA26" i="3"/>
  <c r="AA443" i="26"/>
  <c r="AE237" i="23"/>
  <c r="C307" i="22"/>
  <c r="AA245" i="20"/>
  <c r="B13" i="24"/>
  <c r="AA238" i="22"/>
  <c r="B93" i="31"/>
  <c r="AA224" i="19"/>
  <c r="AA449" i="23"/>
  <c r="AA317" i="23"/>
  <c r="AA224" i="28"/>
  <c r="A28" i="4"/>
  <c r="AA183" i="21"/>
  <c r="AA220" i="3"/>
  <c r="AA173" i="29"/>
  <c r="A27" i="18"/>
  <c r="AA207" i="21"/>
  <c r="AA333" i="27"/>
  <c r="AA428" i="29"/>
  <c r="AA382" i="24"/>
  <c r="I46" i="25"/>
  <c r="AA214" i="3"/>
  <c r="AA240" i="23"/>
  <c r="AA169" i="23"/>
  <c r="A304" i="23"/>
  <c r="AA228" i="23"/>
  <c r="B17" i="20"/>
  <c r="A12" i="26"/>
  <c r="C302" i="25"/>
  <c r="AE34" i="25"/>
  <c r="AE227" i="21"/>
  <c r="C302" i="3"/>
  <c r="AA241" i="20"/>
  <c r="G262" i="26"/>
  <c r="AA384" i="21"/>
  <c r="AA180" i="22"/>
  <c r="AA314" i="3"/>
  <c r="A295" i="29"/>
  <c r="I14" i="24"/>
  <c r="E14" i="23"/>
  <c r="AA333" i="21"/>
  <c r="AA382" i="27"/>
  <c r="AA318" i="20"/>
  <c r="I259" i="23"/>
  <c r="AA234" i="20"/>
  <c r="AA406" i="22"/>
  <c r="B305" i="20"/>
  <c r="AA411" i="23"/>
  <c r="AA194" i="29"/>
  <c r="AA2" i="29"/>
  <c r="AA200" i="22"/>
  <c r="AF35" i="24"/>
  <c r="C302" i="28"/>
  <c r="AJ154" i="29"/>
  <c r="AE28" i="21"/>
  <c r="AA176" i="22"/>
  <c r="AA331" i="26"/>
  <c r="AE29" i="22"/>
  <c r="AA313" i="3"/>
  <c r="B300" i="26"/>
  <c r="AI309" i="29"/>
  <c r="AA155" i="21"/>
  <c r="AA235" i="24"/>
  <c r="I145" i="25"/>
  <c r="AA385" i="28"/>
  <c r="C15" i="27"/>
  <c r="E303" i="28"/>
  <c r="AA219" i="28"/>
  <c r="G13" i="24"/>
  <c r="AE41" i="23"/>
  <c r="AI25" i="22"/>
  <c r="AA37" i="22"/>
  <c r="AA175" i="19"/>
  <c r="C15" i="19"/>
  <c r="AA203" i="29"/>
  <c r="AA412" i="22"/>
  <c r="AE217" i="28"/>
  <c r="AA414" i="29"/>
  <c r="AA157" i="23"/>
  <c r="AE216" i="19"/>
  <c r="B17" i="19"/>
  <c r="G14" i="4"/>
  <c r="AA184" i="29"/>
  <c r="AA326" i="3"/>
  <c r="A260" i="25"/>
  <c r="AE38" i="24"/>
  <c r="B14" i="24"/>
  <c r="B303" i="23"/>
  <c r="AA44" i="27"/>
  <c r="I15" i="3"/>
  <c r="AE240" i="3"/>
  <c r="AA321" i="22"/>
  <c r="AE234" i="23"/>
  <c r="A260" i="23"/>
  <c r="AA411" i="29"/>
  <c r="AA309" i="24"/>
  <c r="AG372" i="24"/>
  <c r="AA378" i="19"/>
  <c r="AA188" i="29"/>
  <c r="C303" i="22"/>
  <c r="AA324" i="20"/>
  <c r="AE27" i="29"/>
  <c r="C13" i="20"/>
  <c r="A263" i="19"/>
  <c r="AA176" i="28"/>
  <c r="AA186" i="28"/>
  <c r="AA211" i="22"/>
  <c r="AA160" i="23"/>
  <c r="AJ151" i="21"/>
  <c r="AI309" i="23"/>
  <c r="AE203" i="19"/>
  <c r="AA170" i="29"/>
  <c r="AA164" i="27"/>
  <c r="D16" i="20"/>
  <c r="AA30" i="19"/>
  <c r="AA37" i="19"/>
  <c r="AA383" i="29"/>
  <c r="A20" i="18"/>
  <c r="AA160" i="19"/>
  <c r="B7" i="29"/>
  <c r="B13" i="25"/>
  <c r="AA317" i="21"/>
  <c r="A47" i="23"/>
  <c r="AF33" i="3"/>
  <c r="H115" i="4"/>
  <c r="Q307" i="23"/>
  <c r="G7" i="26"/>
  <c r="D18" i="3"/>
  <c r="AA393" i="27"/>
  <c r="D302" i="27"/>
  <c r="AI309" i="25"/>
  <c r="AE225" i="23"/>
  <c r="H61" i="4"/>
  <c r="D304" i="22"/>
  <c r="AA321" i="23"/>
  <c r="AA167" i="28"/>
  <c r="D25" i="15"/>
  <c r="AE236" i="26"/>
  <c r="AE449" i="21"/>
  <c r="E301" i="20"/>
  <c r="B12" i="3"/>
  <c r="AA325" i="26"/>
  <c r="AA311" i="21"/>
  <c r="C18" i="26"/>
  <c r="AH154" i="26"/>
  <c r="AA182" i="20"/>
  <c r="D301" i="29"/>
  <c r="B6" i="28"/>
  <c r="C15" i="23"/>
  <c r="AM151" i="19"/>
  <c r="AE33" i="22"/>
  <c r="AA28" i="23"/>
  <c r="AA162" i="27"/>
  <c r="AA329" i="22"/>
  <c r="A46" i="29"/>
  <c r="AA313" i="24"/>
  <c r="AA161" i="27"/>
  <c r="AA35" i="21"/>
  <c r="D304" i="27"/>
  <c r="AH372" i="22"/>
  <c r="AA38" i="21"/>
  <c r="F17" i="29"/>
  <c r="AA210" i="27"/>
  <c r="AA181" i="24"/>
  <c r="AA314" i="25"/>
  <c r="AA314" i="24"/>
  <c r="AE33" i="3"/>
  <c r="AA237" i="24"/>
  <c r="AA186" i="22"/>
  <c r="AA44" i="25"/>
  <c r="D301" i="20"/>
  <c r="AI227" i="22"/>
  <c r="B10" i="14"/>
  <c r="AE36" i="21"/>
  <c r="C20" i="14"/>
  <c r="H14" i="25"/>
  <c r="AE220" i="26"/>
  <c r="AA430" i="28"/>
  <c r="H17" i="24"/>
  <c r="AG314" i="3"/>
  <c r="A300" i="29"/>
  <c r="AA185" i="3"/>
  <c r="D17" i="24"/>
  <c r="AA180" i="21"/>
  <c r="AA392" i="21"/>
  <c r="AI227" i="24"/>
  <c r="AE225" i="27"/>
  <c r="AA43" i="29"/>
  <c r="I259" i="27"/>
  <c r="AA29" i="3"/>
  <c r="AE229" i="26"/>
  <c r="C9" i="18"/>
  <c r="AE218" i="20"/>
  <c r="AE41" i="22"/>
  <c r="AE202" i="22"/>
  <c r="AA163" i="25"/>
  <c r="AF39" i="26"/>
  <c r="AA333" i="29"/>
  <c r="B6" i="29"/>
  <c r="AE207" i="19"/>
  <c r="A22" i="17"/>
  <c r="AA311" i="23"/>
  <c r="H111" i="4"/>
  <c r="AF39" i="25"/>
  <c r="A306" i="20"/>
  <c r="AH151" i="27"/>
  <c r="F18" i="21"/>
  <c r="AA161" i="22"/>
  <c r="D17" i="19"/>
  <c r="AA187" i="23"/>
  <c r="D300" i="27"/>
  <c r="D18" i="24"/>
  <c r="D14" i="3"/>
  <c r="AA430" i="27"/>
  <c r="B305" i="25"/>
  <c r="AG230" i="20"/>
  <c r="AE28" i="3"/>
  <c r="D17" i="3"/>
  <c r="AA20" i="29"/>
  <c r="AA41" i="23"/>
  <c r="AA173" i="21"/>
  <c r="AE216" i="29"/>
  <c r="AA237" i="26"/>
  <c r="B302" i="29"/>
  <c r="C299" i="24"/>
  <c r="AE230" i="23"/>
  <c r="AA39" i="21"/>
  <c r="AI237" i="29"/>
  <c r="AA390" i="22"/>
  <c r="H16" i="21"/>
  <c r="C299" i="25"/>
  <c r="AA187" i="21"/>
  <c r="AE235" i="29"/>
  <c r="AA146" i="24"/>
  <c r="AA36" i="19"/>
  <c r="AE43" i="21"/>
  <c r="B14" i="28"/>
  <c r="D22" i="15"/>
  <c r="E299" i="3"/>
  <c r="A14" i="17"/>
  <c r="AA246" i="21"/>
  <c r="I145" i="20"/>
  <c r="AA393" i="3"/>
  <c r="AA32" i="29"/>
  <c r="AA32" i="26"/>
  <c r="B305" i="28"/>
  <c r="AA385" i="27"/>
  <c r="AJ151" i="26"/>
  <c r="AA40" i="20"/>
  <c r="P307" i="25"/>
  <c r="AA43" i="21"/>
  <c r="AG231" i="24"/>
  <c r="AA174" i="27"/>
  <c r="AA188" i="23"/>
  <c r="B27" i="31"/>
  <c r="AI25" i="28"/>
  <c r="AA246" i="19"/>
  <c r="AA228" i="20"/>
  <c r="AG36" i="28"/>
  <c r="AE240" i="19"/>
  <c r="AE449" i="29"/>
  <c r="AA392" i="24"/>
  <c r="AA43" i="25"/>
  <c r="A307" i="22"/>
  <c r="AA410" i="29"/>
  <c r="AE217" i="24"/>
  <c r="G5" i="18"/>
  <c r="A80" i="4"/>
  <c r="A26" i="14"/>
  <c r="AA457" i="22"/>
  <c r="AA167" i="19"/>
  <c r="E262" i="21"/>
  <c r="D13" i="3"/>
  <c r="AA26" i="25"/>
  <c r="F13" i="21"/>
  <c r="AA320" i="3"/>
  <c r="AA324" i="3"/>
  <c r="AA328" i="28"/>
  <c r="AA447" i="24"/>
  <c r="AA42" i="24"/>
  <c r="A307" i="24"/>
  <c r="AA246" i="26"/>
  <c r="B261" i="20"/>
  <c r="A12" i="22"/>
  <c r="D262" i="20"/>
  <c r="AA239" i="29"/>
  <c r="AA152" i="26"/>
  <c r="AA25" i="28"/>
  <c r="AI20" i="3"/>
  <c r="AE449" i="24"/>
  <c r="AA451" i="21"/>
  <c r="AE240" i="27"/>
  <c r="AA241" i="29"/>
  <c r="AF154" i="25"/>
  <c r="AE216" i="20"/>
  <c r="AA421" i="23"/>
  <c r="AE209" i="26"/>
  <c r="AH154" i="19"/>
  <c r="D16" i="26"/>
  <c r="AI154" i="22"/>
  <c r="AI27" i="29"/>
  <c r="D305" i="21"/>
  <c r="AE202" i="21"/>
  <c r="AI25" i="21"/>
  <c r="B302" i="20"/>
  <c r="AG231" i="25"/>
  <c r="AD314" i="26"/>
  <c r="AA378" i="23"/>
  <c r="AA440" i="21"/>
  <c r="A44" i="4"/>
  <c r="AA312" i="26"/>
  <c r="E306" i="27"/>
  <c r="AA45" i="23"/>
  <c r="F18" i="19"/>
  <c r="AF35" i="22"/>
  <c r="AA419" i="27"/>
  <c r="AA314" i="21"/>
  <c r="AA203" i="3"/>
  <c r="B73" i="4"/>
  <c r="AI309" i="21"/>
  <c r="AA326" i="23"/>
  <c r="AA42" i="25"/>
  <c r="AE28" i="19"/>
  <c r="AA314" i="22"/>
  <c r="AA176" i="23"/>
  <c r="G18" i="24"/>
  <c r="A301" i="29"/>
  <c r="AE210" i="3"/>
  <c r="AA449" i="19"/>
  <c r="I146" i="27"/>
  <c r="I13" i="19"/>
  <c r="I18" i="22"/>
  <c r="AE237" i="24"/>
  <c r="AA35" i="26"/>
  <c r="AA28" i="22"/>
  <c r="E17" i="21"/>
  <c r="AE218" i="3"/>
  <c r="AA399" i="25"/>
  <c r="AA316" i="25"/>
  <c r="AE32" i="29"/>
  <c r="E13" i="21"/>
  <c r="E300" i="26"/>
  <c r="E301" i="21"/>
  <c r="C305" i="24"/>
  <c r="AA373" i="24"/>
  <c r="AE236" i="19"/>
  <c r="F15" i="23"/>
  <c r="B7" i="21"/>
  <c r="AA456" i="3"/>
  <c r="AA392" i="3"/>
  <c r="A70" i="4"/>
  <c r="AA148" i="3"/>
  <c r="AE30" i="24"/>
  <c r="AA385" i="19"/>
  <c r="AH372" i="25"/>
  <c r="F14" i="3"/>
  <c r="F17" i="24"/>
  <c r="A14" i="14"/>
  <c r="F262" i="19"/>
  <c r="E302" i="21"/>
  <c r="AA2" i="22"/>
  <c r="Q307" i="27"/>
  <c r="F18" i="27"/>
  <c r="AA332" i="25"/>
  <c r="AA407" i="22"/>
  <c r="C304" i="27"/>
  <c r="H15" i="29"/>
  <c r="A19" i="18"/>
  <c r="Q302" i="20"/>
  <c r="AA169" i="25"/>
  <c r="AA151" i="3"/>
  <c r="AA316" i="19"/>
  <c r="E304" i="27"/>
  <c r="B17" i="27"/>
  <c r="D262" i="22"/>
  <c r="AC375" i="28"/>
  <c r="C16" i="23"/>
  <c r="B304" i="21"/>
  <c r="D301" i="19"/>
  <c r="AA417" i="19"/>
  <c r="E305" i="23"/>
  <c r="AA37" i="28"/>
  <c r="AE247" i="29"/>
  <c r="B303" i="21"/>
  <c r="AA387" i="22"/>
  <c r="AG231" i="26"/>
  <c r="D262" i="28"/>
  <c r="A31" i="14"/>
  <c r="AI151" i="24"/>
  <c r="AF32" i="19"/>
  <c r="B304" i="29"/>
  <c r="AA45" i="26"/>
  <c r="AE234" i="25"/>
  <c r="D262" i="26"/>
  <c r="AA194" i="27"/>
  <c r="AA234" i="27"/>
  <c r="I17" i="27"/>
  <c r="AE23" i="29"/>
  <c r="AE217" i="22"/>
  <c r="AE220" i="24"/>
  <c r="C18" i="27"/>
  <c r="AA1" i="28"/>
  <c r="AA231" i="3"/>
  <c r="AA234" i="25"/>
  <c r="AA324" i="19"/>
  <c r="AG359" i="20"/>
  <c r="AA319" i="24"/>
  <c r="AA1" i="3"/>
  <c r="C305" i="23"/>
  <c r="B15" i="29"/>
  <c r="AH372" i="3"/>
  <c r="AA199" i="25"/>
  <c r="D300" i="20"/>
  <c r="B4" i="14"/>
  <c r="A262" i="21"/>
  <c r="C299" i="28"/>
  <c r="B301" i="26"/>
  <c r="AA186" i="27"/>
  <c r="AF39" i="27"/>
  <c r="AA155" i="19"/>
  <c r="F14" i="26"/>
  <c r="A305" i="20"/>
  <c r="AI227" i="21"/>
  <c r="AE31" i="21"/>
  <c r="AA384" i="29"/>
  <c r="AA187" i="28"/>
  <c r="AA204" i="20"/>
  <c r="E305" i="27"/>
  <c r="B15" i="31"/>
  <c r="C262" i="26"/>
  <c r="AA189" i="21"/>
  <c r="A118" i="4"/>
  <c r="AA319" i="27"/>
  <c r="AA407" i="24"/>
  <c r="E307" i="27"/>
  <c r="A299" i="28"/>
  <c r="AE219" i="20"/>
  <c r="AA185" i="23"/>
  <c r="AA148" i="26"/>
  <c r="AE210" i="19"/>
  <c r="D29" i="18"/>
  <c r="G66" i="4"/>
  <c r="E306" i="25"/>
  <c r="AA213" i="23"/>
  <c r="AA162" i="26"/>
  <c r="AA234" i="26"/>
  <c r="AA172" i="19"/>
  <c r="AE224" i="3"/>
  <c r="AE27" i="23"/>
  <c r="AA227" i="3"/>
  <c r="AI217" i="25"/>
  <c r="A3" i="15"/>
  <c r="AA313" i="21"/>
  <c r="AE41" i="19"/>
  <c r="AF37" i="24"/>
  <c r="AA2" i="27"/>
  <c r="AA29" i="26"/>
  <c r="AA26" i="19"/>
  <c r="A23" i="14"/>
  <c r="I14" i="19"/>
  <c r="AA215" i="20"/>
  <c r="G18" i="28"/>
  <c r="AA33" i="19"/>
  <c r="AA393" i="24"/>
  <c r="AA314" i="23"/>
  <c r="E305" i="25"/>
  <c r="AE234" i="19"/>
  <c r="E299" i="21"/>
  <c r="AE215" i="27"/>
  <c r="AA1" i="22"/>
  <c r="AA42" i="3"/>
  <c r="AA312" i="24"/>
  <c r="AE36" i="19"/>
  <c r="AA22" i="29"/>
  <c r="B94" i="31"/>
  <c r="C11" i="15"/>
  <c r="AF33" i="23"/>
  <c r="AA374" i="29"/>
  <c r="I146" i="22"/>
  <c r="Q307" i="3"/>
  <c r="E303" i="27"/>
  <c r="AA39" i="22"/>
  <c r="B56" i="31"/>
  <c r="AE43" i="23"/>
  <c r="AI217" i="29"/>
  <c r="AJ154" i="28"/>
  <c r="AG220" i="26"/>
  <c r="AA204" i="27"/>
  <c r="AA41" i="26"/>
  <c r="A262" i="22"/>
  <c r="G14" i="25"/>
  <c r="AE214" i="20"/>
  <c r="AG359" i="28"/>
  <c r="AE229" i="22"/>
  <c r="AA437" i="20"/>
  <c r="AE206" i="26"/>
  <c r="AA433" i="21"/>
  <c r="AA415" i="26"/>
  <c r="AA41" i="20"/>
  <c r="G7" i="29"/>
  <c r="AA246" i="3"/>
  <c r="AE219" i="26"/>
  <c r="B306" i="26"/>
  <c r="AA244" i="29"/>
  <c r="AA40" i="28"/>
  <c r="AH372" i="21"/>
  <c r="AA378" i="29"/>
  <c r="AA318" i="24"/>
  <c r="G262" i="22"/>
  <c r="A305" i="22"/>
  <c r="AA28" i="29"/>
  <c r="F13" i="27"/>
  <c r="AA200" i="27"/>
  <c r="AA171" i="3"/>
  <c r="AE224" i="29"/>
  <c r="AA26" i="23"/>
  <c r="AI199" i="27"/>
  <c r="AA176" i="20"/>
  <c r="AE221" i="29"/>
  <c r="AA370" i="24"/>
  <c r="AA2" i="20"/>
  <c r="B11" i="14"/>
  <c r="H262" i="24"/>
  <c r="AE25" i="23"/>
  <c r="AE34" i="20"/>
  <c r="I16" i="19"/>
  <c r="AA186" i="23"/>
  <c r="AA42" i="20"/>
  <c r="E16" i="29"/>
  <c r="AA456" i="28"/>
  <c r="AE32" i="22"/>
  <c r="AA437" i="27"/>
  <c r="AA221" i="23"/>
  <c r="AE225" i="3"/>
  <c r="E15" i="22"/>
  <c r="AA245" i="27"/>
  <c r="A304" i="20"/>
  <c r="AA178" i="3"/>
  <c r="AA32" i="22"/>
  <c r="G114" i="4"/>
  <c r="AA390" i="28"/>
  <c r="AA202" i="25"/>
  <c r="AA240" i="29"/>
  <c r="AA457" i="19"/>
  <c r="AF314" i="29"/>
  <c r="D17" i="22"/>
  <c r="AH151" i="26"/>
  <c r="B5" i="3"/>
  <c r="AA415" i="27"/>
  <c r="A46" i="25"/>
  <c r="AA421" i="25"/>
  <c r="AA204" i="22"/>
  <c r="AE210" i="23"/>
  <c r="AA370" i="20"/>
  <c r="A47" i="25"/>
  <c r="N29" i="18"/>
  <c r="A262" i="23"/>
  <c r="AE229" i="19"/>
  <c r="AA433" i="25"/>
  <c r="AG220" i="25"/>
  <c r="AE246" i="22"/>
  <c r="AE240" i="28"/>
  <c r="AG220" i="21"/>
  <c r="A16" i="17"/>
  <c r="AE225" i="28"/>
  <c r="AE236" i="24"/>
  <c r="AA218" i="22"/>
  <c r="H17" i="25"/>
  <c r="AE239" i="20"/>
  <c r="AA313" i="27"/>
  <c r="I13" i="20"/>
  <c r="AA182" i="19"/>
  <c r="AA428" i="26"/>
  <c r="AA167" i="22"/>
  <c r="G14" i="19"/>
  <c r="AA382" i="21"/>
  <c r="I18" i="24"/>
  <c r="AA235" i="19"/>
  <c r="AE151" i="27"/>
  <c r="B13" i="26"/>
  <c r="AI227" i="3"/>
  <c r="A117" i="4"/>
  <c r="AA376" i="26"/>
  <c r="AA376" i="27"/>
  <c r="G18" i="26"/>
  <c r="AB375" i="28"/>
  <c r="AA228" i="21"/>
  <c r="AA38" i="22"/>
  <c r="AA36" i="26"/>
  <c r="A300" i="19"/>
  <c r="AA22" i="21"/>
  <c r="AA41" i="24"/>
  <c r="AA311" i="19"/>
  <c r="A299" i="27"/>
  <c r="A4" i="14"/>
  <c r="AA33" i="28"/>
  <c r="AE36" i="20"/>
  <c r="AA444" i="23"/>
  <c r="AA326" i="29"/>
  <c r="AA210" i="24"/>
  <c r="AA159" i="19"/>
  <c r="I13" i="25"/>
  <c r="AF33" i="26"/>
  <c r="AA245" i="21"/>
  <c r="AA419" i="29"/>
  <c r="AF151" i="23"/>
  <c r="AA184" i="26"/>
  <c r="AA384" i="25"/>
  <c r="A295" i="20"/>
  <c r="AE229" i="23"/>
  <c r="AE34" i="26"/>
  <c r="AE31" i="20"/>
  <c r="AE238" i="28"/>
  <c r="G262" i="28"/>
  <c r="AE314" i="28"/>
  <c r="B13" i="21"/>
  <c r="H1" i="28"/>
  <c r="AI244" i="26"/>
  <c r="AA184" i="21"/>
  <c r="AI154" i="24"/>
  <c r="I15" i="21"/>
  <c r="A303" i="22"/>
  <c r="AA408" i="22"/>
  <c r="AA228" i="24"/>
  <c r="AA169" i="21"/>
  <c r="AA384" i="28"/>
  <c r="AA378" i="28"/>
  <c r="C262" i="22"/>
  <c r="H17" i="19"/>
  <c r="AG359" i="19"/>
  <c r="AA169" i="19"/>
  <c r="AA371" i="19"/>
  <c r="F29" i="18"/>
  <c r="A259" i="27"/>
  <c r="A262" i="19"/>
  <c r="AA157" i="3"/>
  <c r="B261" i="27"/>
  <c r="AE237" i="28"/>
  <c r="AE238" i="23"/>
  <c r="AA210" i="3"/>
  <c r="G60" i="4"/>
  <c r="AE231" i="3"/>
  <c r="AA409" i="19"/>
  <c r="AF35" i="27"/>
  <c r="C262" i="27"/>
  <c r="D301" i="26"/>
  <c r="AA163" i="21"/>
  <c r="E262" i="19"/>
  <c r="AE27" i="28"/>
  <c r="AF154" i="21"/>
  <c r="AF32" i="28"/>
  <c r="AA379" i="21"/>
  <c r="AE226" i="28"/>
  <c r="AA238" i="3"/>
  <c r="A262" i="25"/>
  <c r="AE236" i="22"/>
  <c r="AE224" i="19"/>
  <c r="Q307" i="25"/>
  <c r="I15" i="25"/>
  <c r="AE25" i="29"/>
  <c r="AA238" i="26"/>
  <c r="C18" i="20"/>
  <c r="B301" i="25"/>
  <c r="AA226" i="27"/>
  <c r="AA29" i="20"/>
  <c r="AA224" i="29"/>
  <c r="E304" i="24"/>
  <c r="AA332" i="21"/>
  <c r="B16" i="27"/>
  <c r="AA385" i="26"/>
  <c r="AA171" i="26"/>
  <c r="AG372" i="22"/>
  <c r="AG231" i="29"/>
  <c r="AA322" i="3"/>
  <c r="AA180" i="26"/>
  <c r="A47" i="22"/>
  <c r="AA412" i="26"/>
  <c r="I259" i="28"/>
  <c r="D302" i="19"/>
  <c r="AA411" i="25"/>
  <c r="H13" i="26"/>
  <c r="AE218" i="24"/>
  <c r="AA371" i="29"/>
  <c r="B304" i="26"/>
  <c r="AI25" i="26"/>
  <c r="AF151" i="19"/>
  <c r="AA329" i="24"/>
  <c r="A306" i="26"/>
  <c r="AB375" i="22"/>
  <c r="F13" i="25"/>
  <c r="AA323" i="20"/>
  <c r="AA326" i="19"/>
  <c r="AI154" i="27"/>
  <c r="AA39" i="24"/>
  <c r="AA180" i="24"/>
  <c r="AA319" i="21"/>
  <c r="A2" i="17"/>
  <c r="AA216" i="22"/>
  <c r="C26" i="14"/>
  <c r="AA247" i="25"/>
  <c r="AG221" i="20"/>
  <c r="AA159" i="22"/>
  <c r="AA404" i="28"/>
  <c r="AA203" i="20"/>
  <c r="A295" i="3"/>
  <c r="D23" i="15"/>
  <c r="AG154" i="27"/>
  <c r="AA40" i="22"/>
  <c r="B103" i="31"/>
  <c r="C305" i="20"/>
  <c r="D302" i="26"/>
  <c r="A91" i="4"/>
  <c r="AA188" i="21"/>
  <c r="AA373" i="28"/>
  <c r="AA409" i="3"/>
  <c r="A59" i="4"/>
  <c r="B307" i="29"/>
  <c r="AA27" i="27"/>
  <c r="AI309" i="3"/>
  <c r="AE23" i="26"/>
  <c r="D301" i="21"/>
  <c r="AG359" i="24"/>
  <c r="AA383" i="19"/>
  <c r="AA177" i="29"/>
  <c r="AA402" i="28"/>
  <c r="AA239" i="24"/>
  <c r="AE214" i="27"/>
  <c r="AE224" i="23"/>
  <c r="AA150" i="20"/>
  <c r="A47" i="29"/>
  <c r="D13" i="26"/>
  <c r="A29" i="4"/>
  <c r="AA166" i="21"/>
  <c r="AE23" i="28"/>
  <c r="A300" i="28"/>
  <c r="AA231" i="25"/>
  <c r="AA45" i="19"/>
  <c r="AA390" i="20"/>
  <c r="AA149" i="29"/>
  <c r="AA194" i="24"/>
  <c r="D303" i="24"/>
  <c r="F13" i="3"/>
  <c r="AA408" i="25"/>
  <c r="AG359" i="27"/>
  <c r="AE231" i="23"/>
  <c r="AG240" i="19"/>
  <c r="AI199" i="21"/>
  <c r="I16" i="24"/>
  <c r="C305" i="22"/>
  <c r="AE220" i="21"/>
  <c r="AG221" i="26"/>
  <c r="P307" i="27"/>
  <c r="B12" i="25"/>
  <c r="B13" i="20"/>
  <c r="E301" i="22"/>
  <c r="AA158" i="27"/>
  <c r="AL151" i="19"/>
  <c r="E262" i="24"/>
  <c r="A305" i="26"/>
  <c r="A259" i="21"/>
  <c r="AE228" i="24"/>
  <c r="B306" i="25"/>
  <c r="AA390" i="21"/>
  <c r="AA371" i="23"/>
  <c r="B300" i="3"/>
  <c r="AB155" i="27"/>
  <c r="E300" i="3"/>
  <c r="AA162" i="25"/>
  <c r="B12" i="22"/>
  <c r="AA451" i="22"/>
  <c r="AA323" i="21"/>
  <c r="A46" i="24"/>
  <c r="AG220" i="24"/>
  <c r="D306" i="21"/>
  <c r="AA428" i="20"/>
  <c r="A295" i="19"/>
  <c r="AA419" i="3"/>
  <c r="AA390" i="29"/>
  <c r="AA320" i="28"/>
  <c r="AA440" i="19"/>
  <c r="G262" i="23"/>
  <c r="B299" i="24"/>
  <c r="B304" i="25"/>
  <c r="Q307" i="20"/>
  <c r="F18" i="26"/>
  <c r="AA319" i="3"/>
  <c r="AA25" i="20"/>
  <c r="AA456" i="24"/>
  <c r="A94" i="4"/>
  <c r="A307" i="23"/>
  <c r="D1" i="4"/>
  <c r="AA456" i="20"/>
  <c r="H15" i="24"/>
  <c r="AA457" i="20"/>
  <c r="AA378" i="21"/>
  <c r="I145" i="27"/>
  <c r="H18" i="27"/>
  <c r="AA155" i="20"/>
  <c r="AG230" i="24"/>
  <c r="AA30" i="21"/>
  <c r="AE23" i="23"/>
  <c r="AG359" i="22"/>
  <c r="AF34" i="25"/>
  <c r="AG314" i="28"/>
  <c r="D16" i="17"/>
  <c r="AA332" i="19"/>
  <c r="G16" i="20"/>
  <c r="AA185" i="20"/>
  <c r="AA425" i="21"/>
  <c r="D305" i="25"/>
  <c r="AA440" i="26"/>
  <c r="AA40" i="19"/>
  <c r="AI154" i="20"/>
  <c r="E302" i="22"/>
  <c r="AA206" i="29"/>
  <c r="E301" i="29"/>
  <c r="AA309" i="27"/>
  <c r="AA425" i="26"/>
  <c r="AA146" i="25"/>
  <c r="E13" i="28"/>
  <c r="D306" i="26"/>
  <c r="AA244" i="19"/>
  <c r="AI244" i="23"/>
  <c r="B47" i="31"/>
  <c r="C16" i="3"/>
  <c r="AA200" i="19"/>
  <c r="AA162" i="21"/>
  <c r="AE151" i="24"/>
  <c r="G111" i="4"/>
  <c r="A34" i="4"/>
  <c r="AA425" i="24"/>
  <c r="AA30" i="25"/>
  <c r="AA2" i="3"/>
  <c r="A299" i="23"/>
  <c r="AA328" i="29"/>
  <c r="AA209" i="25"/>
  <c r="AA375" i="27"/>
  <c r="A301" i="27"/>
  <c r="AE449" i="3"/>
  <c r="H29" i="18"/>
  <c r="AA22" i="20"/>
  <c r="A259" i="25"/>
  <c r="E13" i="26"/>
  <c r="AA209" i="20"/>
  <c r="AA410" i="28"/>
  <c r="AA165" i="20"/>
  <c r="AA188" i="19"/>
  <c r="AJ154" i="19"/>
  <c r="AA224" i="25"/>
  <c r="AA320" i="19"/>
  <c r="AA383" i="28"/>
  <c r="F16" i="23"/>
  <c r="AI20" i="20"/>
  <c r="AA229" i="28"/>
  <c r="AA211" i="29"/>
  <c r="G29" i="18"/>
  <c r="C16" i="19"/>
  <c r="AB155" i="24"/>
  <c r="B302" i="27"/>
  <c r="AG221" i="23"/>
  <c r="AI25" i="19"/>
  <c r="AA31" i="20"/>
  <c r="AA380" i="24"/>
  <c r="A6" i="15"/>
  <c r="D20" i="17"/>
  <c r="G15" i="19"/>
  <c r="AA377" i="27"/>
  <c r="A307" i="21"/>
  <c r="A16" i="15"/>
  <c r="AA447" i="20"/>
  <c r="A29" i="15"/>
  <c r="G18" i="22"/>
  <c r="AA440" i="3"/>
  <c r="AF32" i="21"/>
  <c r="D15" i="21"/>
  <c r="I17" i="19"/>
  <c r="AA225" i="25"/>
  <c r="D12" i="17"/>
  <c r="AA425" i="28"/>
  <c r="AG221" i="29"/>
  <c r="AI372" i="22"/>
  <c r="AA209" i="28"/>
  <c r="AA27" i="26"/>
  <c r="AA20" i="3"/>
  <c r="A300" i="22"/>
  <c r="AG241" i="24"/>
  <c r="I46" i="27"/>
  <c r="B60" i="31"/>
  <c r="B2" i="14"/>
  <c r="B99" i="31"/>
  <c r="AE23" i="27"/>
  <c r="AA322" i="20"/>
  <c r="AA45" i="3"/>
  <c r="I259" i="24"/>
  <c r="AE32" i="21"/>
  <c r="AA436" i="23"/>
  <c r="E14" i="26"/>
  <c r="A299" i="20"/>
  <c r="H262" i="21"/>
  <c r="A1" i="17"/>
  <c r="AA206" i="25"/>
  <c r="AG221" i="25"/>
  <c r="AA211" i="27"/>
  <c r="AA183" i="23"/>
  <c r="F17" i="22"/>
  <c r="B302" i="19"/>
  <c r="AI372" i="28"/>
  <c r="AE239" i="21"/>
  <c r="A25" i="17"/>
  <c r="AA177" i="24"/>
  <c r="A21" i="17"/>
  <c r="AA451" i="24"/>
  <c r="AA182" i="29"/>
  <c r="A306" i="19"/>
  <c r="AA25" i="22"/>
  <c r="AA311" i="3"/>
  <c r="E302" i="28"/>
  <c r="AI372" i="27"/>
  <c r="AE33" i="21"/>
  <c r="D307" i="27"/>
  <c r="AE41" i="21"/>
  <c r="E306" i="20"/>
  <c r="AA31" i="23"/>
  <c r="E300" i="20"/>
  <c r="AA238" i="25"/>
  <c r="AA152" i="29"/>
  <c r="AA387" i="25"/>
  <c r="C18" i="22"/>
  <c r="A304" i="28"/>
  <c r="AA177" i="27"/>
  <c r="AA246" i="20"/>
  <c r="B262" i="25"/>
  <c r="AA385" i="25"/>
  <c r="H14" i="3"/>
  <c r="B262" i="26"/>
  <c r="A21" i="15"/>
  <c r="AE29" i="27"/>
  <c r="AE224" i="27"/>
  <c r="A14" i="18"/>
  <c r="AA175" i="29"/>
  <c r="A35" i="4"/>
  <c r="B306" i="21"/>
  <c r="AB155" i="22"/>
  <c r="AA437" i="26"/>
  <c r="I15" i="26"/>
  <c r="A20" i="17"/>
  <c r="AA314" i="27"/>
  <c r="AA39" i="20"/>
  <c r="A302" i="25"/>
  <c r="AG241" i="27"/>
  <c r="AF161" i="28"/>
  <c r="AA219" i="27"/>
  <c r="AA180" i="28"/>
  <c r="B303" i="27"/>
  <c r="E14" i="21"/>
  <c r="AE31" i="22"/>
  <c r="C304" i="19"/>
  <c r="AG231" i="19"/>
  <c r="AE220" i="19"/>
  <c r="AA218" i="19"/>
  <c r="AE204" i="19"/>
  <c r="AG372" i="3"/>
  <c r="I18" i="3"/>
  <c r="C304" i="20"/>
  <c r="AH151" i="28"/>
  <c r="AA181" i="29"/>
  <c r="AA402" i="3"/>
  <c r="B16" i="4"/>
  <c r="AA318" i="25"/>
  <c r="AA311" i="22"/>
  <c r="A12" i="21"/>
  <c r="D16" i="4"/>
  <c r="AA423" i="3"/>
  <c r="AA177" i="25"/>
  <c r="AA436" i="26"/>
  <c r="D13" i="24"/>
  <c r="AA237" i="28"/>
  <c r="AA150" i="24"/>
  <c r="AI227" i="25"/>
  <c r="A23" i="17"/>
  <c r="AA173" i="3"/>
  <c r="AG231" i="3"/>
  <c r="C300" i="28"/>
  <c r="B13" i="22"/>
  <c r="AE226" i="23"/>
  <c r="AE228" i="26"/>
  <c r="B306" i="27"/>
  <c r="A305" i="23"/>
  <c r="C306" i="29"/>
  <c r="A6" i="18"/>
  <c r="C262" i="24"/>
  <c r="C301" i="22"/>
  <c r="AA443" i="19"/>
  <c r="AA157" i="27"/>
  <c r="D305" i="20"/>
  <c r="I46" i="21"/>
  <c r="F18" i="28"/>
  <c r="C299" i="3"/>
  <c r="D16" i="22"/>
  <c r="AA238" i="21"/>
  <c r="AG36" i="24"/>
  <c r="AG36" i="29"/>
  <c r="AJ154" i="26"/>
  <c r="AA184" i="27"/>
  <c r="A303" i="28"/>
  <c r="AA186" i="25"/>
  <c r="AA146" i="26"/>
  <c r="B73" i="31"/>
  <c r="B8" i="31"/>
  <c r="B303" i="26"/>
  <c r="I46" i="23"/>
  <c r="F14" i="27"/>
  <c r="AE214" i="22"/>
  <c r="AA408" i="24"/>
  <c r="AA169" i="24"/>
  <c r="E14" i="3"/>
  <c r="A301" i="23"/>
  <c r="AE34" i="27"/>
  <c r="I146" i="20"/>
  <c r="AE234" i="3"/>
  <c r="AA311" i="24"/>
  <c r="AG221" i="28"/>
  <c r="H17" i="23"/>
  <c r="AA374" i="27"/>
  <c r="AE241" i="27"/>
  <c r="AF39" i="24"/>
  <c r="C25" i="14"/>
  <c r="C14" i="23"/>
  <c r="AA158" i="21"/>
  <c r="AE30" i="21"/>
  <c r="AJ151" i="23"/>
  <c r="A34" i="14"/>
  <c r="AF37" i="20"/>
  <c r="A47" i="19"/>
  <c r="B304" i="28"/>
  <c r="I15" i="19"/>
  <c r="E303" i="3"/>
  <c r="A14" i="15"/>
  <c r="AA432" i="19"/>
  <c r="AA432" i="28"/>
  <c r="B44" i="4"/>
  <c r="AA326" i="20"/>
  <c r="AA166" i="22"/>
  <c r="C14" i="14"/>
  <c r="AA155" i="24"/>
  <c r="AA32" i="23"/>
  <c r="B300" i="25"/>
  <c r="AI25" i="20"/>
  <c r="B16" i="14"/>
  <c r="B3" i="14"/>
  <c r="G17" i="21"/>
  <c r="B95" i="31"/>
  <c r="AF154" i="3"/>
  <c r="AA319" i="23"/>
  <c r="AI372" i="3"/>
  <c r="D303" i="25"/>
  <c r="AA377" i="23"/>
  <c r="AA172" i="24"/>
  <c r="D301" i="24"/>
  <c r="E300" i="25"/>
  <c r="D306" i="3"/>
  <c r="B300" i="21"/>
  <c r="I262" i="25"/>
  <c r="H18" i="25"/>
  <c r="C307" i="27"/>
  <c r="AA202" i="21"/>
  <c r="AA432" i="23"/>
  <c r="AA332" i="22"/>
  <c r="C304" i="24"/>
  <c r="AA244" i="24"/>
  <c r="A299" i="24"/>
  <c r="G14" i="24"/>
  <c r="I259" i="25"/>
  <c r="AG154" i="21"/>
  <c r="AA438" i="23"/>
  <c r="A302" i="21"/>
  <c r="AA194" i="20"/>
  <c r="AE202" i="3"/>
  <c r="A259" i="22"/>
  <c r="D306" i="20"/>
  <c r="AA28" i="19"/>
  <c r="AE239" i="24"/>
  <c r="AA325" i="22"/>
  <c r="C305" i="21"/>
  <c r="F15" i="25"/>
  <c r="G85" i="4"/>
  <c r="AJ154" i="3"/>
  <c r="AA182" i="26"/>
  <c r="AG151" i="25"/>
  <c r="AA379" i="27"/>
  <c r="AA236" i="27"/>
  <c r="A5" i="15"/>
  <c r="AA32" i="24"/>
  <c r="AE151" i="29"/>
  <c r="AA217" i="25"/>
  <c r="D44" i="4"/>
  <c r="AA409" i="20"/>
  <c r="AG36" i="20"/>
  <c r="AA390" i="27"/>
  <c r="AE449" i="26"/>
  <c r="C16" i="24"/>
  <c r="B91" i="31"/>
  <c r="AA171" i="19"/>
  <c r="AA148" i="29"/>
  <c r="AA443" i="29"/>
  <c r="AA216" i="27"/>
  <c r="G6" i="3"/>
  <c r="AA238" i="24"/>
  <c r="E301" i="19"/>
  <c r="C301" i="21"/>
  <c r="AA29" i="28"/>
  <c r="E303" i="29"/>
  <c r="AA224" i="21"/>
  <c r="AA443" i="24"/>
  <c r="D299" i="29"/>
  <c r="AA379" i="29"/>
  <c r="AI199" i="3"/>
  <c r="AE25" i="24"/>
  <c r="B17" i="14"/>
  <c r="AE25" i="25"/>
  <c r="AA236" i="23"/>
  <c r="AA433" i="26"/>
  <c r="AA175" i="26"/>
  <c r="B18" i="21"/>
  <c r="AA159" i="20"/>
  <c r="I13" i="26"/>
  <c r="H85" i="4"/>
  <c r="AF39" i="23"/>
  <c r="AE34" i="21"/>
  <c r="AA214" i="29"/>
  <c r="AA158" i="23"/>
  <c r="A263" i="21"/>
  <c r="E13" i="22"/>
  <c r="B261" i="19"/>
  <c r="AA221" i="3"/>
  <c r="AA164" i="29"/>
  <c r="AE38" i="20"/>
  <c r="AF314" i="21"/>
  <c r="AA423" i="19"/>
  <c r="AA229" i="29"/>
  <c r="AF34" i="26"/>
  <c r="A304" i="26"/>
  <c r="D305" i="26"/>
  <c r="AA444" i="21"/>
  <c r="AA311" i="29"/>
  <c r="AA175" i="3"/>
  <c r="AE39" i="23"/>
  <c r="A306" i="22"/>
  <c r="F18" i="25"/>
  <c r="AA202" i="20"/>
  <c r="AF37" i="3"/>
  <c r="AG240" i="22"/>
  <c r="A19" i="19"/>
  <c r="G16" i="22"/>
  <c r="AA162" i="24"/>
  <c r="AA317" i="20"/>
  <c r="AE224" i="22"/>
  <c r="AA246" i="23"/>
  <c r="B261" i="28"/>
  <c r="AB155" i="25"/>
  <c r="D18" i="17"/>
  <c r="AG231" i="20"/>
  <c r="A263" i="22"/>
  <c r="D300" i="26"/>
  <c r="B261" i="26"/>
  <c r="AG372" i="21"/>
  <c r="C307" i="19"/>
  <c r="AA27" i="21"/>
  <c r="AA20" i="22"/>
  <c r="B18" i="29"/>
  <c r="AA225" i="27"/>
  <c r="E14" i="24"/>
  <c r="AA411" i="3"/>
  <c r="AA27" i="24"/>
  <c r="AH372" i="24"/>
  <c r="AE228" i="22"/>
  <c r="A300" i="3"/>
  <c r="D300" i="29"/>
  <c r="AA26" i="27"/>
  <c r="E306" i="26"/>
  <c r="AN151" i="19"/>
  <c r="AE29" i="25"/>
  <c r="C13" i="27"/>
  <c r="AE230" i="29"/>
  <c r="AA387" i="19"/>
  <c r="E302" i="23"/>
  <c r="B305" i="26"/>
  <c r="AA411" i="22"/>
  <c r="AA186" i="26"/>
  <c r="AG240" i="25"/>
  <c r="D21" i="17"/>
  <c r="A18" i="14"/>
  <c r="AA170" i="26"/>
  <c r="AA210" i="28"/>
  <c r="H262" i="26"/>
  <c r="AA36" i="21"/>
  <c r="AE230" i="25"/>
  <c r="AA163" i="29"/>
  <c r="A48" i="20"/>
  <c r="C4" i="14"/>
  <c r="E262" i="23"/>
  <c r="AA194" i="25"/>
  <c r="AE27" i="19"/>
  <c r="C300" i="24"/>
  <c r="A305" i="19"/>
  <c r="A3" i="17"/>
  <c r="A33" i="4"/>
  <c r="AA180" i="19"/>
  <c r="AA430" i="19"/>
  <c r="AA237" i="20"/>
  <c r="AA399" i="21"/>
  <c r="AA241" i="23"/>
  <c r="A263" i="24"/>
  <c r="AA199" i="21"/>
  <c r="AH151" i="20"/>
  <c r="E300" i="29"/>
  <c r="AE239" i="22"/>
  <c r="F16" i="19"/>
  <c r="AA321" i="21"/>
  <c r="AF32" i="3"/>
  <c r="D301" i="28"/>
  <c r="AA410" i="3"/>
  <c r="AA155" i="26"/>
  <c r="AG151" i="22"/>
  <c r="AG151" i="24"/>
  <c r="AF39" i="29"/>
  <c r="AE214" i="21"/>
  <c r="AF35" i="19"/>
  <c r="AF33" i="29"/>
  <c r="H1" i="26"/>
  <c r="AI237" i="24"/>
  <c r="D14" i="25"/>
  <c r="AA34" i="20"/>
  <c r="AA317" i="25"/>
  <c r="AA374" i="24"/>
  <c r="AA390" i="3"/>
  <c r="AA176" i="19"/>
  <c r="G5" i="20"/>
  <c r="AA226" i="22"/>
  <c r="B14" i="20"/>
  <c r="E307" i="29"/>
  <c r="AG359" i="25"/>
  <c r="AA438" i="27"/>
  <c r="AA180" i="25"/>
  <c r="AA2" i="21"/>
  <c r="AA42" i="27"/>
  <c r="A259" i="20"/>
  <c r="AA376" i="28"/>
  <c r="B90" i="31"/>
  <c r="AA328" i="26"/>
  <c r="AA217" i="23"/>
  <c r="AD314" i="19"/>
  <c r="I14" i="20"/>
  <c r="E306" i="22"/>
  <c r="D24" i="15"/>
  <c r="AA31" i="26"/>
  <c r="AE33" i="26"/>
  <c r="AE246" i="25"/>
  <c r="AH151" i="23"/>
  <c r="AA164" i="22"/>
  <c r="AA230" i="21"/>
  <c r="AE241" i="23"/>
  <c r="AA201" i="28"/>
  <c r="A298" i="19"/>
  <c r="D13" i="21"/>
  <c r="H17" i="27"/>
  <c r="AA33" i="21"/>
  <c r="AA374" i="26"/>
  <c r="B6" i="19"/>
  <c r="AI27" i="23"/>
  <c r="AF34" i="22"/>
  <c r="I17" i="22"/>
  <c r="AA219" i="26"/>
  <c r="AA34" i="28"/>
  <c r="AG36" i="26"/>
  <c r="AA417" i="29"/>
  <c r="AA37" i="20"/>
  <c r="AA175" i="23"/>
  <c r="B304" i="3"/>
  <c r="D302" i="21"/>
  <c r="A19" i="24"/>
  <c r="AA38" i="20"/>
  <c r="B48" i="31"/>
  <c r="G5" i="24"/>
  <c r="I16" i="3"/>
  <c r="AA171" i="29"/>
  <c r="AG240" i="28"/>
  <c r="A75" i="4"/>
  <c r="G6" i="22"/>
  <c r="AA201" i="29"/>
  <c r="D307" i="24"/>
  <c r="A299" i="3"/>
  <c r="AA409" i="22"/>
  <c r="G18" i="27"/>
  <c r="AE38" i="28"/>
  <c r="D9" i="18"/>
  <c r="E304" i="29"/>
  <c r="H17" i="22"/>
  <c r="AE224" i="25"/>
  <c r="AA231" i="20"/>
  <c r="C18" i="3"/>
  <c r="I16" i="29"/>
  <c r="H15" i="28"/>
  <c r="AA406" i="25"/>
  <c r="AA30" i="20"/>
  <c r="C307" i="28"/>
  <c r="AE33" i="27"/>
  <c r="AE219" i="25"/>
  <c r="AD314" i="29"/>
  <c r="AE27" i="26"/>
  <c r="B76" i="4"/>
  <c r="H1" i="19"/>
  <c r="AA318" i="26"/>
  <c r="C15" i="14"/>
  <c r="G15" i="25"/>
  <c r="AA43" i="3"/>
  <c r="AA316" i="22"/>
  <c r="AA25" i="24"/>
  <c r="H18" i="3"/>
  <c r="B305" i="19"/>
  <c r="AA23" i="20"/>
  <c r="AA309" i="23"/>
  <c r="AI151" i="23"/>
  <c r="AA215" i="21"/>
  <c r="D303" i="3"/>
  <c r="AA373" i="23"/>
  <c r="C262" i="28"/>
  <c r="B303" i="22"/>
  <c r="C17" i="22"/>
  <c r="E262" i="25"/>
  <c r="AA380" i="26"/>
  <c r="AI372" i="29"/>
  <c r="AA166" i="24"/>
  <c r="AB375" i="29"/>
  <c r="C13" i="19"/>
  <c r="A306" i="23"/>
  <c r="I146" i="3"/>
  <c r="AA443" i="3"/>
  <c r="AA151" i="19"/>
  <c r="AE216" i="21"/>
  <c r="B67" i="4"/>
  <c r="B5" i="31"/>
  <c r="AA387" i="21"/>
  <c r="AA218" i="26"/>
  <c r="AA376" i="19"/>
  <c r="AH151" i="29"/>
  <c r="AA224" i="20"/>
  <c r="B5" i="23"/>
  <c r="A47" i="27"/>
  <c r="AA185" i="26"/>
  <c r="G15" i="21"/>
  <c r="AE32" i="23"/>
  <c r="AA417" i="22"/>
  <c r="AA432" i="27"/>
  <c r="C303" i="29"/>
  <c r="AI309" i="27"/>
  <c r="AF35" i="25"/>
  <c r="AE237" i="19"/>
  <c r="H1" i="3"/>
  <c r="F18" i="3"/>
  <c r="A303" i="20"/>
  <c r="AA146" i="3"/>
  <c r="AI20" i="19"/>
  <c r="A301" i="21"/>
  <c r="AE215" i="20"/>
  <c r="B16" i="25"/>
  <c r="AA378" i="24"/>
  <c r="D303" i="23"/>
  <c r="C14" i="3"/>
  <c r="B26" i="14"/>
  <c r="AE228" i="25"/>
  <c r="A260" i="20"/>
  <c r="AE39" i="29"/>
  <c r="AE238" i="21"/>
  <c r="E304" i="28"/>
  <c r="I17" i="21"/>
  <c r="AA309" i="26"/>
  <c r="G15" i="3"/>
  <c r="B75" i="31"/>
  <c r="AA216" i="26"/>
  <c r="B53" i="31"/>
  <c r="B33" i="31"/>
  <c r="C17" i="26"/>
  <c r="AA20" i="28"/>
  <c r="AE211" i="26"/>
  <c r="AE246" i="24"/>
  <c r="E304" i="21"/>
  <c r="B16" i="26"/>
  <c r="AA313" i="23"/>
  <c r="AA240" i="24"/>
  <c r="I56" i="4"/>
  <c r="AA321" i="3"/>
  <c r="AA443" i="20"/>
  <c r="AA226" i="23"/>
  <c r="AF161" i="21"/>
  <c r="AA318" i="22"/>
  <c r="AA172" i="22"/>
  <c r="AA215" i="26"/>
  <c r="AA25" i="19"/>
  <c r="AA235" i="22"/>
  <c r="AA382" i="22"/>
  <c r="AH154" i="29"/>
  <c r="AI20" i="27"/>
  <c r="AA149" i="25"/>
  <c r="AE203" i="26"/>
  <c r="AA184" i="20"/>
  <c r="AE28" i="29"/>
  <c r="C17" i="14"/>
  <c r="B97" i="31"/>
  <c r="AA2" i="19"/>
  <c r="I46" i="20"/>
  <c r="E16" i="19"/>
  <c r="B64" i="4"/>
  <c r="I16" i="26"/>
  <c r="AA404" i="21"/>
  <c r="AA449" i="26"/>
  <c r="AE207" i="21"/>
  <c r="K29" i="18"/>
  <c r="AA408" i="29"/>
  <c r="AE225" i="26"/>
  <c r="AA20" i="26"/>
  <c r="AA201" i="20"/>
  <c r="AA456" i="21"/>
  <c r="B63" i="31"/>
  <c r="AA329" i="28"/>
  <c r="B19" i="31"/>
  <c r="A53" i="4"/>
  <c r="AG221" i="19"/>
  <c r="AA174" i="20"/>
  <c r="AB375" i="27"/>
  <c r="AA164" i="23"/>
  <c r="H17" i="26"/>
  <c r="AA210" i="22"/>
  <c r="A262" i="3"/>
  <c r="I145" i="22"/>
  <c r="I13" i="3"/>
  <c r="AE215" i="29"/>
  <c r="AE236" i="23"/>
  <c r="AA201" i="3"/>
  <c r="AA231" i="24"/>
  <c r="A98" i="4"/>
  <c r="AA213" i="27"/>
  <c r="A20" i="4"/>
  <c r="AA215" i="3"/>
  <c r="AA164" i="21"/>
  <c r="B307" i="27"/>
  <c r="A72" i="4"/>
  <c r="C303" i="24"/>
  <c r="C13" i="26"/>
  <c r="AA414" i="21"/>
  <c r="I145" i="21"/>
  <c r="E262" i="20"/>
  <c r="AA209" i="19"/>
  <c r="AA311" i="27"/>
  <c r="E303" i="19"/>
  <c r="AE225" i="24"/>
  <c r="AA227" i="26"/>
  <c r="A298" i="27"/>
  <c r="B84" i="31"/>
  <c r="AA186" i="24"/>
  <c r="AA26" i="24"/>
  <c r="C16" i="29"/>
  <c r="AA188" i="22"/>
  <c r="AJ154" i="22"/>
  <c r="B5" i="24"/>
  <c r="AA219" i="29"/>
  <c r="B31" i="14"/>
  <c r="AF39" i="3"/>
  <c r="A12" i="24"/>
  <c r="AA158" i="25"/>
  <c r="AA152" i="20"/>
  <c r="AE221" i="21"/>
  <c r="AA177" i="28"/>
  <c r="I146" i="28"/>
  <c r="E307" i="28"/>
  <c r="AA225" i="3"/>
  <c r="E300" i="19"/>
  <c r="AI199" i="24"/>
  <c r="AA189" i="25"/>
  <c r="B16" i="28"/>
  <c r="AA241" i="21"/>
  <c r="G18" i="29"/>
  <c r="Q302" i="29"/>
  <c r="AA238" i="29"/>
  <c r="AA163" i="22"/>
  <c r="AA408" i="28"/>
  <c r="A47" i="3"/>
  <c r="AE231" i="26"/>
  <c r="AA30" i="23"/>
  <c r="AA23" i="22"/>
  <c r="D299" i="3"/>
  <c r="AE239" i="27"/>
  <c r="AA35" i="19"/>
  <c r="A48" i="28"/>
  <c r="A10" i="18"/>
  <c r="AA181" i="23"/>
  <c r="E304" i="25"/>
  <c r="AE30" i="22"/>
  <c r="AA235" i="28"/>
  <c r="AE25" i="21"/>
  <c r="D12" i="15"/>
  <c r="AE31" i="26"/>
  <c r="AG36" i="19"/>
  <c r="B42" i="31"/>
  <c r="B18" i="20"/>
  <c r="D13" i="20"/>
  <c r="B6" i="20"/>
  <c r="B20" i="31"/>
  <c r="A259" i="28"/>
  <c r="AE239" i="23"/>
  <c r="AA235" i="3"/>
  <c r="F13" i="24"/>
  <c r="AA451" i="19"/>
  <c r="B5" i="21"/>
  <c r="AA176" i="29"/>
  <c r="AE231" i="27"/>
  <c r="B7" i="27"/>
  <c r="AA235" i="29"/>
  <c r="AA207" i="20"/>
  <c r="AA183" i="27"/>
  <c r="AA146" i="20"/>
  <c r="AA370" i="19"/>
  <c r="AA22" i="22"/>
  <c r="AA35" i="22"/>
  <c r="AA160" i="25"/>
  <c r="AA36" i="28"/>
  <c r="AA385" i="29"/>
  <c r="B18" i="23"/>
  <c r="AA188" i="26"/>
  <c r="AA150" i="28"/>
  <c r="A17" i="14"/>
  <c r="AA382" i="28"/>
  <c r="AE31" i="28"/>
  <c r="F18" i="22"/>
  <c r="AA440" i="20"/>
  <c r="AA244" i="27"/>
  <c r="AA161" i="19"/>
  <c r="A84" i="4"/>
  <c r="AA332" i="20"/>
  <c r="Q302" i="19"/>
  <c r="AA207" i="23"/>
  <c r="AA228" i="3"/>
  <c r="AA20" i="27"/>
  <c r="AA26" i="28"/>
  <c r="E18" i="28"/>
  <c r="AE33" i="23"/>
  <c r="AA169" i="20"/>
  <c r="H18" i="20"/>
  <c r="AA380" i="20"/>
  <c r="E303" i="21"/>
  <c r="AA406" i="20"/>
  <c r="AG241" i="19"/>
  <c r="I17" i="26"/>
  <c r="AA172" i="26"/>
  <c r="B79" i="31"/>
  <c r="A49" i="4"/>
  <c r="B306" i="20"/>
  <c r="AG359" i="23"/>
  <c r="AA316" i="20"/>
  <c r="E301" i="3"/>
  <c r="Q302" i="21"/>
  <c r="AI227" i="27"/>
  <c r="AH154" i="20"/>
  <c r="AI199" i="28"/>
  <c r="AA204" i="24"/>
  <c r="AA187" i="19"/>
  <c r="AE240" i="23"/>
  <c r="AA237" i="25"/>
  <c r="AA437" i="3"/>
  <c r="D303" i="21"/>
  <c r="E13" i="20"/>
  <c r="AE214" i="23"/>
  <c r="A48" i="22"/>
  <c r="E17" i="26"/>
  <c r="AA146" i="29"/>
  <c r="AA237" i="19"/>
  <c r="AA373" i="29"/>
  <c r="AA449" i="3"/>
  <c r="AI244" i="29"/>
  <c r="AA411" i="24"/>
  <c r="AA163" i="24"/>
  <c r="AI217" i="20"/>
  <c r="AE237" i="3"/>
  <c r="AA399" i="28"/>
  <c r="C262" i="29"/>
  <c r="AA1" i="29"/>
  <c r="H15" i="25"/>
  <c r="C304" i="29"/>
  <c r="AA199" i="27"/>
  <c r="Q307" i="22"/>
  <c r="AA30" i="28"/>
  <c r="AA312" i="27"/>
  <c r="AA35" i="3"/>
  <c r="AE314" i="20"/>
  <c r="AA151" i="29"/>
  <c r="AE211" i="19"/>
  <c r="AA158" i="19"/>
  <c r="AA323" i="29"/>
  <c r="AG230" i="22"/>
  <c r="A263" i="25"/>
  <c r="AI151" i="20"/>
  <c r="AA210" i="25"/>
  <c r="I146" i="23"/>
  <c r="AA377" i="29"/>
  <c r="AA40" i="23"/>
  <c r="G262" i="3"/>
  <c r="D28" i="4"/>
  <c r="D305" i="3"/>
  <c r="AA327" i="22"/>
  <c r="AE234" i="26"/>
  <c r="AE225" i="29"/>
  <c r="AA27" i="3"/>
  <c r="AA373" i="26"/>
  <c r="G18" i="23"/>
  <c r="B43" i="31"/>
  <c r="B107" i="31"/>
  <c r="AE30" i="23"/>
  <c r="AE28" i="26"/>
  <c r="D302" i="23"/>
  <c r="AE235" i="28"/>
  <c r="C14" i="21"/>
  <c r="AA148" i="27"/>
  <c r="B307" i="24"/>
  <c r="AA213" i="28"/>
  <c r="G5" i="19"/>
  <c r="E15" i="19"/>
  <c r="H13" i="21"/>
  <c r="AE38" i="19"/>
  <c r="A303" i="19"/>
  <c r="F17" i="26"/>
  <c r="AA164" i="25"/>
  <c r="AA157" i="20"/>
  <c r="AF37" i="23"/>
  <c r="AF32" i="26"/>
  <c r="AI154" i="21"/>
  <c r="AD314" i="23"/>
  <c r="AA33" i="22"/>
  <c r="B14" i="19"/>
  <c r="AH372" i="26"/>
  <c r="AO151" i="19"/>
  <c r="AA437" i="23"/>
  <c r="AA447" i="27"/>
  <c r="C306" i="26"/>
  <c r="E15" i="3"/>
  <c r="AA312" i="3"/>
  <c r="AJ154" i="21"/>
  <c r="AE314" i="27"/>
  <c r="AA32" i="20"/>
  <c r="H13" i="22"/>
  <c r="AA444" i="28"/>
  <c r="AA225" i="29"/>
  <c r="AA163" i="26"/>
  <c r="AI227" i="20"/>
  <c r="A304" i="21"/>
  <c r="AA39" i="26"/>
  <c r="A48" i="24"/>
  <c r="AI237" i="25"/>
  <c r="AA189" i="3"/>
  <c r="AE29" i="21"/>
  <c r="G17" i="27"/>
  <c r="AA149" i="26"/>
  <c r="AA383" i="23"/>
  <c r="AG372" i="26"/>
  <c r="I60" i="4"/>
  <c r="AA414" i="24"/>
  <c r="I13" i="22"/>
  <c r="B300" i="22"/>
  <c r="AG230" i="21"/>
  <c r="AE207" i="27"/>
  <c r="AA377" i="3"/>
  <c r="G5" i="3"/>
  <c r="AA415" i="28"/>
  <c r="AG151" i="23"/>
  <c r="AA27" i="22"/>
  <c r="AA314" i="28"/>
  <c r="AA407" i="20"/>
  <c r="B32" i="14"/>
  <c r="A298" i="22"/>
  <c r="A12" i="29"/>
  <c r="AF34" i="29"/>
  <c r="AA170" i="21"/>
  <c r="B15" i="3"/>
  <c r="AA174" i="3"/>
  <c r="G16" i="3"/>
  <c r="AE241" i="20"/>
  <c r="AE238" i="20"/>
  <c r="AH154" i="28"/>
  <c r="AA412" i="19"/>
  <c r="AA181" i="20"/>
  <c r="AD314" i="25"/>
  <c r="AA433" i="28"/>
  <c r="A4" i="15"/>
  <c r="AE41" i="27"/>
  <c r="AI217" i="24"/>
  <c r="AA35" i="28"/>
  <c r="AF32" i="29"/>
  <c r="AF161" i="3"/>
  <c r="AA201" i="26"/>
  <c r="AE314" i="22"/>
  <c r="AE217" i="29"/>
  <c r="AI151" i="22"/>
  <c r="C303" i="21"/>
  <c r="AE214" i="28"/>
  <c r="I15" i="27"/>
  <c r="AA326" i="26"/>
  <c r="C302" i="29"/>
  <c r="H17" i="20"/>
  <c r="AA214" i="21"/>
  <c r="H16" i="29"/>
  <c r="H16" i="24"/>
  <c r="AA160" i="26"/>
  <c r="AA31" i="19"/>
  <c r="AA170" i="22"/>
  <c r="AE30" i="28"/>
  <c r="B13" i="29"/>
  <c r="G5" i="21"/>
  <c r="A1" i="4"/>
  <c r="G14" i="26"/>
  <c r="AE30" i="27"/>
  <c r="AA237" i="29"/>
  <c r="A298" i="24"/>
  <c r="G14" i="20"/>
  <c r="AI309" i="28"/>
  <c r="B299" i="29"/>
  <c r="AE39" i="27"/>
  <c r="AA231" i="26"/>
  <c r="H262" i="3"/>
  <c r="B36" i="31"/>
  <c r="G13" i="19"/>
  <c r="AA161" i="24"/>
  <c r="AA219" i="21"/>
  <c r="C15" i="21"/>
  <c r="AF37" i="26"/>
  <c r="AA37" i="29"/>
  <c r="AD314" i="20"/>
  <c r="AG220" i="22"/>
  <c r="AA443" i="28"/>
  <c r="AA236" i="25"/>
  <c r="AG359" i="3"/>
  <c r="AI244" i="19"/>
  <c r="AG231" i="27"/>
  <c r="AF37" i="25"/>
  <c r="AA45" i="21"/>
  <c r="AA157" i="22"/>
  <c r="AG154" i="20"/>
  <c r="D15" i="23"/>
  <c r="E15" i="20"/>
  <c r="AA148" i="20"/>
  <c r="AF161" i="24"/>
  <c r="AA444" i="26"/>
  <c r="B30" i="14"/>
  <c r="AE224" i="28"/>
  <c r="AA329" i="23"/>
  <c r="D20" i="15"/>
  <c r="E14" i="25"/>
  <c r="AE30" i="19"/>
  <c r="AK150" i="3"/>
  <c r="AA432" i="24"/>
  <c r="E18" i="26"/>
  <c r="AA41" i="3"/>
  <c r="E17" i="24"/>
  <c r="AI25" i="25"/>
  <c r="AI154" i="28"/>
  <c r="AA183" i="22"/>
  <c r="A302" i="24"/>
  <c r="AE23" i="22"/>
  <c r="AA380" i="27"/>
  <c r="AG240" i="29"/>
  <c r="AA163" i="27"/>
  <c r="AA384" i="24"/>
  <c r="A298" i="20"/>
  <c r="AA241" i="27"/>
  <c r="A306" i="3"/>
  <c r="AI217" i="19"/>
  <c r="AA378" i="22"/>
  <c r="B12" i="20"/>
  <c r="AA150" i="26"/>
  <c r="A74" i="4"/>
  <c r="AE206" i="28"/>
  <c r="AA322" i="19"/>
  <c r="I14" i="23"/>
  <c r="AE246" i="20"/>
  <c r="C14" i="19"/>
  <c r="A30" i="15"/>
  <c r="AA421" i="22"/>
  <c r="AA228" i="27"/>
  <c r="AE247" i="23"/>
  <c r="AI20" i="24"/>
  <c r="B16" i="29"/>
  <c r="AA437" i="28"/>
  <c r="H262" i="23"/>
  <c r="A103" i="4"/>
  <c r="E262" i="27"/>
  <c r="AA218" i="28"/>
  <c r="AA313" i="19"/>
  <c r="AA421" i="24"/>
  <c r="B16" i="31"/>
  <c r="AE227" i="23"/>
  <c r="AA165" i="26"/>
  <c r="AA216" i="20"/>
  <c r="AA207" i="27"/>
  <c r="AE226" i="21"/>
  <c r="AI20" i="23"/>
  <c r="AI309" i="20"/>
  <c r="D299" i="22"/>
  <c r="AA382" i="19"/>
  <c r="AE202" i="29"/>
  <c r="AF37" i="28"/>
  <c r="AA374" i="25"/>
  <c r="C23" i="14"/>
  <c r="AE32" i="25"/>
  <c r="AA204" i="23"/>
  <c r="AA167" i="21"/>
  <c r="AA30" i="24"/>
  <c r="AA245" i="28"/>
  <c r="B302" i="23"/>
  <c r="AA438" i="28"/>
  <c r="AI237" i="26"/>
  <c r="H1" i="24"/>
  <c r="C299" i="26"/>
  <c r="B38" i="31"/>
  <c r="AA375" i="21"/>
  <c r="AA409" i="29"/>
  <c r="AA311" i="20"/>
  <c r="A37" i="4"/>
  <c r="AA170" i="27"/>
  <c r="AA443" i="25"/>
  <c r="G17" i="3"/>
  <c r="F16" i="27"/>
  <c r="AA447" i="28"/>
  <c r="A263" i="29"/>
  <c r="P307" i="24"/>
  <c r="AE216" i="28"/>
  <c r="AA182" i="3"/>
  <c r="A302" i="23"/>
  <c r="AA217" i="20"/>
  <c r="AA314" i="19"/>
  <c r="C15" i="3"/>
  <c r="AA34" i="21"/>
  <c r="AA39" i="3"/>
  <c r="I18" i="27"/>
  <c r="B12" i="24"/>
  <c r="AA406" i="23"/>
  <c r="B22" i="31"/>
  <c r="B302" i="26"/>
  <c r="AA411" i="20"/>
  <c r="AA414" i="27"/>
  <c r="AA240" i="25"/>
  <c r="AF37" i="22"/>
  <c r="AA44" i="23"/>
  <c r="B61" i="31"/>
  <c r="AA181" i="19"/>
  <c r="AE449" i="27"/>
  <c r="AA229" i="23"/>
  <c r="D306" i="25"/>
  <c r="AD314" i="3"/>
  <c r="AA244" i="21"/>
  <c r="AA180" i="29"/>
  <c r="AE234" i="28"/>
  <c r="AE36" i="3"/>
  <c r="AA227" i="27"/>
  <c r="B307" i="3"/>
  <c r="B14" i="26"/>
  <c r="AI309" i="24"/>
  <c r="AA231" i="19"/>
  <c r="AE31" i="25"/>
  <c r="A301" i="25"/>
  <c r="AA160" i="28"/>
  <c r="AG220" i="29"/>
  <c r="G15" i="20"/>
  <c r="AA425" i="25"/>
  <c r="B299" i="20"/>
  <c r="B66" i="31"/>
  <c r="F16" i="22"/>
  <c r="A302" i="27"/>
  <c r="Q307" i="24"/>
  <c r="AE210" i="29"/>
  <c r="AE218" i="23"/>
  <c r="B14" i="22"/>
  <c r="AE214" i="24"/>
  <c r="AA39" i="29"/>
  <c r="A6" i="14"/>
  <c r="AE38" i="3"/>
  <c r="AA225" i="22"/>
  <c r="AG240" i="3"/>
  <c r="AA241" i="22"/>
  <c r="AA323" i="28"/>
  <c r="F14" i="28"/>
  <c r="AA149" i="21"/>
  <c r="AA425" i="22"/>
  <c r="B302" i="24"/>
  <c r="C17" i="29"/>
  <c r="AG154" i="19"/>
  <c r="AE240" i="22"/>
  <c r="AA188" i="3"/>
  <c r="E262" i="28"/>
  <c r="AI151" i="28"/>
  <c r="AE224" i="20"/>
  <c r="E300" i="23"/>
  <c r="F14" i="21"/>
  <c r="D13" i="22"/>
  <c r="A305" i="21"/>
  <c r="G7" i="27"/>
  <c r="AA150" i="25"/>
  <c r="B262" i="28"/>
  <c r="AG36" i="25"/>
  <c r="AA414" i="3"/>
  <c r="AE230" i="20"/>
  <c r="B4" i="31"/>
  <c r="F14" i="23"/>
  <c r="AA189" i="22"/>
  <c r="D304" i="24"/>
  <c r="D14" i="21"/>
  <c r="AA451" i="26"/>
  <c r="AI217" i="3"/>
  <c r="AA326" i="27"/>
  <c r="AA326" i="22"/>
  <c r="C299" i="20"/>
  <c r="AA322" i="25"/>
  <c r="A77" i="4"/>
  <c r="H113" i="4"/>
  <c r="AG220" i="23"/>
  <c r="AA23" i="25"/>
  <c r="C300" i="23"/>
  <c r="AA228" i="25"/>
  <c r="AA417" i="21"/>
  <c r="H262" i="20"/>
  <c r="AA220" i="28"/>
  <c r="B262" i="29"/>
  <c r="AA200" i="24"/>
  <c r="AI154" i="26"/>
  <c r="AA313" i="26"/>
  <c r="AA188" i="27"/>
  <c r="AA150" i="22"/>
  <c r="C302" i="24"/>
  <c r="C14" i="27"/>
  <c r="P307" i="28"/>
  <c r="AB375" i="25"/>
  <c r="D15" i="25"/>
  <c r="A104" i="4"/>
  <c r="G17" i="28"/>
  <c r="AA444" i="24"/>
  <c r="AA160" i="20"/>
  <c r="AA215" i="19"/>
  <c r="AG154" i="23"/>
  <c r="B306" i="3"/>
  <c r="AA323" i="25"/>
  <c r="E17" i="23"/>
  <c r="B6" i="3"/>
  <c r="AA151" i="24"/>
  <c r="I145" i="23"/>
  <c r="AA451" i="3"/>
  <c r="AA443" i="22"/>
  <c r="B299" i="28"/>
  <c r="AE235" i="21"/>
  <c r="AA319" i="25"/>
  <c r="D113" i="4"/>
  <c r="B28" i="4"/>
  <c r="A262" i="29"/>
  <c r="AA331" i="3"/>
  <c r="B17" i="24"/>
  <c r="B6" i="23"/>
  <c r="AA317" i="24"/>
  <c r="F15" i="26"/>
  <c r="AG230" i="3"/>
  <c r="AA433" i="20"/>
  <c r="AA150" i="3"/>
  <c r="C13" i="25"/>
  <c r="AA244" i="23"/>
  <c r="AA380" i="29"/>
  <c r="AA373" i="20"/>
  <c r="C15" i="26"/>
  <c r="AA225" i="24"/>
  <c r="AA380" i="3"/>
  <c r="C306" i="20"/>
  <c r="D305" i="22"/>
  <c r="AA174" i="19"/>
  <c r="AA186" i="19"/>
  <c r="AA224" i="27"/>
  <c r="AG220" i="20"/>
  <c r="A307" i="26"/>
  <c r="E299" i="23"/>
  <c r="AA408" i="27"/>
  <c r="AA164" i="26"/>
  <c r="B19" i="14"/>
  <c r="AA206" i="3"/>
  <c r="AE31" i="19"/>
  <c r="AA237" i="27"/>
  <c r="AA313" i="28"/>
  <c r="E16" i="27"/>
  <c r="AE36" i="25"/>
  <c r="AA447" i="19"/>
  <c r="B82" i="31"/>
  <c r="AE211" i="23"/>
  <c r="D18" i="20"/>
  <c r="AE43" i="19"/>
  <c r="F13" i="23"/>
  <c r="F14" i="24"/>
  <c r="E262" i="26"/>
  <c r="A12" i="23"/>
  <c r="F14" i="25"/>
  <c r="AA423" i="26"/>
  <c r="A43" i="4"/>
  <c r="F17" i="3"/>
  <c r="AA312" i="25"/>
  <c r="A76" i="4"/>
  <c r="AH372" i="20"/>
  <c r="AA419" i="24"/>
  <c r="AA411" i="27"/>
  <c r="H16" i="23"/>
  <c r="E307" i="20"/>
  <c r="AA227" i="22"/>
  <c r="AA207" i="3"/>
  <c r="AA238" i="20"/>
  <c r="AA215" i="25"/>
  <c r="I14" i="25"/>
  <c r="B12" i="23"/>
  <c r="AA234" i="23"/>
  <c r="AA326" i="21"/>
  <c r="C306" i="24"/>
  <c r="D307" i="3"/>
  <c r="AE207" i="25"/>
  <c r="AA206" i="20"/>
  <c r="AA227" i="20"/>
  <c r="F15" i="22"/>
  <c r="AA449" i="27"/>
  <c r="AE34" i="19"/>
  <c r="AA173" i="28"/>
  <c r="AF39" i="22"/>
  <c r="D301" i="27"/>
  <c r="B7" i="20"/>
  <c r="G17" i="29"/>
  <c r="G5" i="25"/>
  <c r="AA34" i="24"/>
  <c r="AE39" i="24"/>
  <c r="AA162" i="20"/>
  <c r="AE31" i="3"/>
  <c r="AA184" i="19"/>
  <c r="AA438" i="25"/>
  <c r="AA231" i="28"/>
  <c r="A48" i="19"/>
  <c r="AA325" i="23"/>
  <c r="AE41" i="29"/>
  <c r="AA206" i="22"/>
  <c r="A25" i="15"/>
  <c r="AA432" i="25"/>
  <c r="AB316" i="3"/>
  <c r="A19" i="3"/>
  <c r="AA451" i="25"/>
  <c r="AA402" i="20"/>
  <c r="AE202" i="23"/>
  <c r="AA204" i="28"/>
  <c r="AA230" i="25"/>
  <c r="AA36" i="22"/>
  <c r="AE235" i="20"/>
  <c r="AE217" i="26"/>
  <c r="AA407" i="25"/>
  <c r="AA415" i="25"/>
  <c r="AA187" i="29"/>
  <c r="B6" i="22"/>
  <c r="AE227" i="26"/>
  <c r="AA169" i="28"/>
  <c r="AA42" i="21"/>
  <c r="AE209" i="20"/>
  <c r="AA372" i="27"/>
  <c r="AA240" i="22"/>
  <c r="AA456" i="26"/>
  <c r="AE235" i="26"/>
  <c r="AE230" i="19"/>
  <c r="AA246" i="24"/>
  <c r="AA149" i="27"/>
  <c r="AE30" i="26"/>
  <c r="AE41" i="24"/>
  <c r="B101" i="31"/>
  <c r="B5" i="26"/>
  <c r="AI199" i="26"/>
  <c r="AA158" i="28"/>
  <c r="B306" i="28"/>
  <c r="AE43" i="3"/>
  <c r="AI20" i="21"/>
  <c r="AA433" i="29"/>
  <c r="E18" i="23"/>
  <c r="AG359" i="26"/>
  <c r="AB375" i="3"/>
  <c r="AA221" i="22"/>
  <c r="AA218" i="25"/>
  <c r="AA412" i="23"/>
  <c r="AA373" i="19"/>
  <c r="D306" i="27"/>
  <c r="AA410" i="19"/>
  <c r="AA324" i="28"/>
  <c r="AA23" i="28"/>
  <c r="AE241" i="28"/>
  <c r="A21" i="18"/>
  <c r="C305" i="26"/>
  <c r="C2" i="14"/>
  <c r="D15" i="3"/>
  <c r="H18" i="28"/>
  <c r="AA236" i="29"/>
  <c r="A259" i="23"/>
  <c r="A299" i="26"/>
  <c r="I262" i="26"/>
  <c r="AA226" i="24"/>
  <c r="AA322" i="21"/>
  <c r="A54" i="4"/>
  <c r="AA32" i="3"/>
  <c r="D299" i="24"/>
  <c r="C16" i="4"/>
  <c r="H18" i="26"/>
  <c r="AI154" i="19"/>
  <c r="D18" i="19"/>
  <c r="AA221" i="28"/>
  <c r="AA44" i="29"/>
  <c r="A302" i="26"/>
  <c r="AF161" i="22"/>
  <c r="AA457" i="26"/>
  <c r="AA38" i="3"/>
  <c r="AA224" i="3"/>
  <c r="AA392" i="23"/>
  <c r="AA211" i="3"/>
  <c r="AE203" i="23"/>
  <c r="A2" i="15"/>
  <c r="AE227" i="25"/>
  <c r="AA312" i="28"/>
  <c r="AA220" i="25"/>
  <c r="AA437" i="25"/>
  <c r="AE204" i="3"/>
  <c r="AA411" i="19"/>
  <c r="AE240" i="21"/>
  <c r="AA213" i="24"/>
  <c r="AE226" i="29"/>
  <c r="I146" i="19"/>
  <c r="AA157" i="26"/>
  <c r="AI237" i="20"/>
  <c r="I16" i="23"/>
  <c r="AA377" i="26"/>
  <c r="AA22" i="24"/>
  <c r="F18" i="24"/>
  <c r="B17" i="25"/>
  <c r="A300" i="25"/>
  <c r="A67" i="4"/>
  <c r="AA183" i="29"/>
  <c r="AA333" i="20"/>
  <c r="B14" i="29"/>
  <c r="AA45" i="29"/>
  <c r="A23" i="4"/>
  <c r="AA211" i="20"/>
  <c r="A299" i="21"/>
  <c r="C303" i="26"/>
  <c r="H16" i="22"/>
  <c r="AA160" i="3"/>
  <c r="D14" i="26"/>
  <c r="D299" i="23"/>
  <c r="AE220" i="28"/>
  <c r="AA186" i="29"/>
  <c r="AA169" i="3"/>
  <c r="AA333" i="19"/>
  <c r="AA399" i="23"/>
  <c r="AA42" i="26"/>
  <c r="AA457" i="24"/>
  <c r="G6" i="29"/>
  <c r="AA40" i="29"/>
  <c r="AE203" i="21"/>
  <c r="B306" i="23"/>
  <c r="A262" i="26"/>
  <c r="E299" i="22"/>
  <c r="AA406" i="27"/>
  <c r="AA159" i="21"/>
  <c r="A301" i="24"/>
  <c r="AI227" i="19"/>
  <c r="AF33" i="21"/>
  <c r="AA177" i="19"/>
  <c r="AA393" i="25"/>
  <c r="A12" i="27"/>
  <c r="B34" i="31"/>
  <c r="AA45" i="20"/>
  <c r="A263" i="3"/>
  <c r="AA181" i="28"/>
  <c r="AE216" i="24"/>
  <c r="AA247" i="20"/>
  <c r="AA215" i="23"/>
  <c r="AG314" i="26"/>
  <c r="C3" i="14"/>
  <c r="Q302" i="3"/>
  <c r="AE221" i="26"/>
  <c r="AE209" i="25"/>
  <c r="G115" i="4"/>
  <c r="AA23" i="29"/>
  <c r="E303" i="20"/>
  <c r="AA210" i="29"/>
  <c r="E16" i="28"/>
  <c r="AA159" i="25"/>
  <c r="A295" i="24"/>
  <c r="B11" i="31"/>
  <c r="AA161" i="20"/>
  <c r="AA165" i="24"/>
  <c r="AF151" i="24"/>
  <c r="AA449" i="21"/>
  <c r="B307" i="20"/>
  <c r="AE231" i="21"/>
  <c r="AA387" i="20"/>
  <c r="B94" i="4"/>
  <c r="AE43" i="24"/>
  <c r="B65" i="31"/>
  <c r="AA322" i="24"/>
  <c r="AA213" i="3"/>
  <c r="AA309" i="19"/>
  <c r="B79" i="4"/>
  <c r="E17" i="28"/>
  <c r="AE220" i="25"/>
  <c r="AA165" i="28"/>
  <c r="AG314" i="27"/>
  <c r="AA188" i="28"/>
  <c r="AA449" i="22"/>
  <c r="A31" i="4"/>
  <c r="AA45" i="22"/>
  <c r="A295" i="27"/>
  <c r="AA215" i="24"/>
  <c r="AE28" i="27"/>
  <c r="AG221" i="27"/>
  <c r="AG230" i="23"/>
  <c r="AA43" i="23"/>
  <c r="AF154" i="23"/>
  <c r="AA220" i="23"/>
  <c r="AA240" i="3"/>
  <c r="AA392" i="26"/>
  <c r="AA158" i="26"/>
  <c r="F17" i="23"/>
  <c r="AE207" i="26"/>
  <c r="AA187" i="3"/>
  <c r="AG151" i="27"/>
  <c r="AA383" i="3"/>
  <c r="AE230" i="21"/>
  <c r="AA327" i="19"/>
  <c r="AB155" i="20"/>
  <c r="A13" i="18"/>
  <c r="AA207" i="22"/>
  <c r="AA412" i="28"/>
  <c r="B67" i="31"/>
  <c r="AE239" i="19"/>
  <c r="B306" i="24"/>
  <c r="AA201" i="23"/>
  <c r="AE237" i="20"/>
  <c r="AA32" i="25"/>
  <c r="B303" i="28"/>
  <c r="AE226" i="27"/>
  <c r="AE229" i="25"/>
  <c r="AA447" i="23"/>
  <c r="AA221" i="27"/>
  <c r="B12" i="21"/>
  <c r="AE240" i="26"/>
  <c r="AA206" i="26"/>
  <c r="AA235" i="20"/>
  <c r="AE238" i="3"/>
  <c r="AC375" i="20"/>
  <c r="F15" i="19"/>
  <c r="AA202" i="27"/>
  <c r="AA42" i="28"/>
  <c r="B262" i="24"/>
  <c r="AE32" i="26"/>
  <c r="B49" i="31"/>
  <c r="AE203" i="20"/>
  <c r="D299" i="20"/>
  <c r="B17" i="23"/>
  <c r="AE41" i="28"/>
  <c r="G61" i="4"/>
  <c r="AA167" i="27"/>
  <c r="A260" i="22"/>
  <c r="D15" i="17"/>
  <c r="AA26" i="29"/>
  <c r="AA325" i="3"/>
  <c r="AB155" i="28"/>
  <c r="A46" i="27"/>
  <c r="AE36" i="24"/>
  <c r="AA324" i="23"/>
  <c r="AA184" i="24"/>
  <c r="AA407" i="21"/>
  <c r="AA161" i="21"/>
  <c r="AA230" i="26"/>
  <c r="AA421" i="26"/>
  <c r="AA376" i="20"/>
  <c r="AE239" i="26"/>
  <c r="G17" i="26"/>
  <c r="AA421" i="19"/>
  <c r="AE224" i="21"/>
  <c r="B40" i="31"/>
  <c r="A24" i="15"/>
  <c r="AA246" i="28"/>
  <c r="G7" i="22"/>
  <c r="AE204" i="21"/>
  <c r="AA423" i="20"/>
  <c r="AE314" i="21"/>
  <c r="AA245" i="29"/>
  <c r="AA43" i="26"/>
  <c r="AI244" i="25"/>
  <c r="AA240" i="28"/>
  <c r="B17" i="3"/>
  <c r="AA39" i="28"/>
  <c r="AA199" i="22"/>
  <c r="AA432" i="22"/>
  <c r="AA329" i="29"/>
  <c r="F15" i="24"/>
  <c r="G13" i="21"/>
  <c r="AA25" i="27"/>
  <c r="AA167" i="29"/>
  <c r="C307" i="21"/>
  <c r="B12" i="27"/>
  <c r="AA399" i="29"/>
  <c r="AE32" i="19"/>
  <c r="AA333" i="25"/>
  <c r="AA316" i="26"/>
  <c r="G262" i="24"/>
  <c r="B20" i="14"/>
  <c r="A305" i="3"/>
  <c r="AA317" i="29"/>
  <c r="E303" i="25"/>
  <c r="AA163" i="23"/>
  <c r="AA40" i="27"/>
  <c r="B16" i="22"/>
  <c r="AA163" i="19"/>
  <c r="AE39" i="19"/>
  <c r="M29" i="18"/>
  <c r="AA216" i="19"/>
  <c r="B6" i="14"/>
  <c r="AE206" i="21"/>
  <c r="AE33" i="19"/>
  <c r="AA374" i="23"/>
  <c r="AA25" i="29"/>
  <c r="AE220" i="23"/>
  <c r="A28" i="14"/>
  <c r="I15" i="22"/>
  <c r="AA180" i="3"/>
  <c r="AF39" i="28"/>
  <c r="A303" i="23"/>
  <c r="D18" i="26"/>
  <c r="D302" i="22"/>
  <c r="AE224" i="26"/>
  <c r="AE211" i="21"/>
  <c r="A299" i="29"/>
  <c r="H62" i="4"/>
  <c r="B6" i="21"/>
  <c r="A47" i="28"/>
  <c r="B90" i="4"/>
  <c r="AA436" i="27"/>
  <c r="AA178" i="27"/>
  <c r="AA333" i="22"/>
  <c r="A11" i="14"/>
  <c r="E304" i="20"/>
  <c r="C18" i="14"/>
  <c r="A68" i="4"/>
  <c r="AA220" i="21"/>
  <c r="AE449" i="22"/>
  <c r="AG151" i="26"/>
  <c r="B303" i="29"/>
  <c r="C24" i="14"/>
  <c r="AI244" i="20"/>
  <c r="B5" i="27"/>
  <c r="P307" i="21"/>
  <c r="AI199" i="29"/>
  <c r="E14" i="28"/>
  <c r="AE246" i="23"/>
  <c r="AA160" i="21"/>
  <c r="AA33" i="20"/>
  <c r="AA230" i="20"/>
  <c r="B304" i="22"/>
  <c r="AA229" i="24"/>
  <c r="AA149" i="28"/>
  <c r="G15" i="24"/>
  <c r="AA444" i="25"/>
  <c r="AA245" i="25"/>
  <c r="AE29" i="26"/>
  <c r="H1" i="25"/>
  <c r="AF35" i="20"/>
  <c r="AA447" i="25"/>
  <c r="AE28" i="23"/>
  <c r="A12" i="4"/>
  <c r="I15" i="24"/>
  <c r="AA411" i="26"/>
  <c r="C303" i="3"/>
  <c r="AA236" i="24"/>
  <c r="AA203" i="23"/>
  <c r="AA379" i="22"/>
  <c r="AA404" i="26"/>
  <c r="C304" i="25"/>
  <c r="AA216" i="3"/>
  <c r="AE29" i="3"/>
  <c r="AA373" i="22"/>
  <c r="AA317" i="28"/>
  <c r="AA217" i="27"/>
  <c r="I17" i="3"/>
  <c r="A13" i="17"/>
  <c r="AI151" i="26"/>
  <c r="AH154" i="23"/>
  <c r="AF151" i="3"/>
  <c r="B6" i="27"/>
  <c r="AE202" i="19"/>
  <c r="AA390" i="24"/>
  <c r="I46" i="28"/>
  <c r="C302" i="26"/>
  <c r="A105" i="4"/>
  <c r="AA36" i="25"/>
  <c r="B46" i="31"/>
  <c r="AH151" i="3"/>
  <c r="AA219" i="3"/>
  <c r="AJ151" i="28"/>
  <c r="AA433" i="19"/>
  <c r="AA375" i="22"/>
  <c r="AG231" i="21"/>
  <c r="AA200" i="26"/>
  <c r="AA33" i="27"/>
  <c r="H84" i="4"/>
  <c r="AA163" i="20"/>
  <c r="I262" i="29"/>
  <c r="P307" i="29"/>
  <c r="A307" i="28"/>
  <c r="G15" i="28"/>
  <c r="AA33" i="25"/>
  <c r="A3" i="14"/>
  <c r="AA28" i="25"/>
  <c r="D262" i="3"/>
  <c r="AG314" i="21"/>
  <c r="AF314" i="25"/>
  <c r="AA199" i="19"/>
  <c r="C14" i="29"/>
  <c r="I46" i="29"/>
  <c r="H15" i="3"/>
  <c r="AA375" i="24"/>
  <c r="AF314" i="23"/>
  <c r="A47" i="20"/>
  <c r="D305" i="19"/>
  <c r="AA207" i="26"/>
  <c r="E15" i="24"/>
  <c r="F14" i="22"/>
  <c r="AA210" i="23"/>
  <c r="AG241" i="3"/>
  <c r="AA199" i="29"/>
  <c r="AE246" i="29"/>
  <c r="B261" i="24"/>
  <c r="I13" i="21"/>
  <c r="AA380" i="19"/>
  <c r="E300" i="27"/>
  <c r="AA414" i="22"/>
  <c r="AA226" i="20"/>
  <c r="AA214" i="20"/>
  <c r="AA239" i="25"/>
  <c r="AI151" i="25"/>
  <c r="AA200" i="21"/>
  <c r="D305" i="24"/>
  <c r="E15" i="25"/>
  <c r="A51" i="4"/>
  <c r="AA32" i="21"/>
  <c r="AA162" i="22"/>
  <c r="B107" i="4"/>
  <c r="AF35" i="29"/>
  <c r="B304" i="27"/>
  <c r="AA318" i="27"/>
  <c r="AA186" i="20"/>
  <c r="AA209" i="23"/>
  <c r="H18" i="24"/>
  <c r="B304" i="20"/>
  <c r="H262" i="28"/>
  <c r="I262" i="3"/>
  <c r="A262" i="27"/>
  <c r="AA451" i="20"/>
  <c r="A263" i="28"/>
  <c r="AA160" i="24"/>
  <c r="AE227" i="22"/>
  <c r="B31" i="31"/>
  <c r="J61" i="4"/>
  <c r="D300" i="21"/>
  <c r="C303" i="25"/>
  <c r="G6" i="23"/>
  <c r="AA23" i="3"/>
  <c r="AA228" i="29"/>
  <c r="AI27" i="21"/>
  <c r="B12" i="26"/>
  <c r="AG36" i="22"/>
  <c r="H14" i="19"/>
  <c r="E305" i="29"/>
  <c r="AA155" i="29"/>
  <c r="B17" i="29"/>
  <c r="AG36" i="27"/>
  <c r="AA328" i="19"/>
  <c r="AA200" i="28"/>
  <c r="B13" i="28"/>
  <c r="AE32" i="28"/>
  <c r="I46" i="19"/>
  <c r="A106" i="4"/>
  <c r="AF314" i="3"/>
  <c r="AA323" i="19"/>
  <c r="AA33" i="29"/>
  <c r="AA393" i="23"/>
  <c r="AA209" i="3"/>
  <c r="C306" i="27"/>
  <c r="I17" i="25"/>
  <c r="AA384" i="22"/>
  <c r="AE314" i="19"/>
  <c r="AE218" i="27"/>
  <c r="AA28" i="27"/>
  <c r="AA382" i="20"/>
  <c r="AE228" i="23"/>
  <c r="AA404" i="22"/>
  <c r="B307" i="26"/>
  <c r="AA230" i="28"/>
  <c r="AA218" i="21"/>
  <c r="AA238" i="28"/>
  <c r="D304" i="28"/>
  <c r="B6" i="31"/>
  <c r="C303" i="28"/>
  <c r="AA155" i="3"/>
  <c r="AA209" i="21"/>
  <c r="AE225" i="22"/>
  <c r="AA333" i="26"/>
  <c r="AA169" i="27"/>
  <c r="AA40" i="21"/>
  <c r="AA29" i="23"/>
  <c r="B13" i="31"/>
  <c r="A304" i="3"/>
  <c r="B307" i="19"/>
  <c r="AE229" i="3"/>
  <c r="D13" i="17"/>
  <c r="E16" i="3"/>
  <c r="AA36" i="20"/>
  <c r="B262" i="22"/>
  <c r="E18" i="29"/>
  <c r="A23" i="15"/>
  <c r="H14" i="21"/>
  <c r="D19" i="17"/>
  <c r="D16" i="29"/>
  <c r="AA183" i="28"/>
  <c r="AE247" i="24"/>
  <c r="G5" i="29"/>
  <c r="A259" i="24"/>
  <c r="AA414" i="25"/>
  <c r="AA371" i="24"/>
  <c r="AA382" i="29"/>
  <c r="H13" i="27"/>
  <c r="AA404" i="23"/>
  <c r="B59" i="31"/>
  <c r="H15" i="21"/>
  <c r="AE314" i="24"/>
  <c r="AF314" i="22"/>
  <c r="AA173" i="23"/>
  <c r="Q307" i="29"/>
  <c r="H13" i="29"/>
  <c r="I145" i="19"/>
  <c r="AE39" i="28"/>
  <c r="B299" i="22"/>
  <c r="AI309" i="26"/>
  <c r="AG240" i="20"/>
  <c r="B83" i="31"/>
  <c r="D14" i="28"/>
  <c r="AA199" i="23"/>
  <c r="AA327" i="24"/>
  <c r="A260" i="28"/>
  <c r="G112" i="4"/>
  <c r="AA410" i="26"/>
  <c r="C15" i="20"/>
  <c r="AE30" i="29"/>
  <c r="A19" i="26"/>
  <c r="AE314" i="3"/>
  <c r="A306" i="21"/>
  <c r="A20" i="15"/>
  <c r="A46" i="20"/>
  <c r="A107" i="4"/>
  <c r="B13" i="19"/>
  <c r="AA379" i="19"/>
  <c r="F16" i="3"/>
  <c r="AI154" i="3"/>
  <c r="AA174" i="21"/>
  <c r="H1" i="21"/>
  <c r="C306" i="22"/>
  <c r="AA332" i="27"/>
  <c r="AA169" i="29"/>
  <c r="G46" i="4"/>
  <c r="C307" i="24"/>
  <c r="E13" i="25"/>
  <c r="A2" i="31"/>
  <c r="AA438" i="24"/>
  <c r="I18" i="26"/>
  <c r="D303" i="26"/>
  <c r="AA309" i="29"/>
  <c r="AA207" i="24"/>
  <c r="H18" i="21"/>
  <c r="AA332" i="29"/>
  <c r="AA241" i="28"/>
  <c r="AA31" i="24"/>
  <c r="G5" i="22"/>
  <c r="AE202" i="24"/>
  <c r="AA331" i="23"/>
  <c r="AA31" i="3"/>
  <c r="AA215" i="29"/>
  <c r="B86" i="31"/>
  <c r="B17" i="28"/>
  <c r="AA22" i="23"/>
  <c r="AA406" i="28"/>
  <c r="AA194" i="28"/>
  <c r="AA238" i="19"/>
  <c r="AI372" i="23"/>
  <c r="AE209" i="27"/>
  <c r="AA185" i="25"/>
  <c r="AH372" i="28"/>
  <c r="AA324" i="21"/>
  <c r="C300" i="29"/>
  <c r="B14" i="14"/>
  <c r="AA27" i="23"/>
  <c r="AG151" i="29"/>
  <c r="G16" i="29"/>
  <c r="D23" i="17"/>
  <c r="I14" i="26"/>
  <c r="AA28" i="26"/>
  <c r="B261" i="23"/>
  <c r="AI151" i="21"/>
  <c r="AH154" i="25"/>
  <c r="AA29" i="24"/>
  <c r="AA226" i="29"/>
  <c r="AA214" i="22"/>
  <c r="H13" i="28"/>
  <c r="AA410" i="25"/>
  <c r="B15" i="28"/>
  <c r="AE27" i="22"/>
  <c r="AG314" i="24"/>
  <c r="AA181" i="25"/>
  <c r="H13" i="25"/>
  <c r="AA321" i="19"/>
  <c r="AA39" i="19"/>
  <c r="AE36" i="26"/>
  <c r="AA317" i="19"/>
  <c r="A13" i="4"/>
  <c r="G15" i="27"/>
  <c r="AH151" i="24"/>
  <c r="AE29" i="23"/>
  <c r="A295" i="22"/>
  <c r="AI217" i="21"/>
  <c r="E306" i="19"/>
  <c r="I17" i="28"/>
  <c r="D14" i="20"/>
  <c r="AG220" i="3"/>
  <c r="AA449" i="20"/>
  <c r="AA177" i="26"/>
  <c r="AA312" i="22"/>
  <c r="AA375" i="25"/>
  <c r="G16" i="28"/>
  <c r="AG231" i="28"/>
  <c r="C300" i="21"/>
  <c r="G14" i="28"/>
  <c r="A60" i="4"/>
  <c r="B300" i="20"/>
  <c r="AB375" i="20"/>
  <c r="A298" i="28"/>
  <c r="A23" i="18"/>
  <c r="AA313" i="29"/>
  <c r="C262" i="3"/>
  <c r="AB155" i="21"/>
  <c r="AI199" i="20"/>
  <c r="AA325" i="19"/>
  <c r="AE219" i="24"/>
  <c r="AA171" i="22"/>
  <c r="AE230" i="27"/>
  <c r="F16" i="28"/>
  <c r="AE219" i="28"/>
  <c r="AE203" i="29"/>
  <c r="AA415" i="29"/>
  <c r="AA216" i="21"/>
  <c r="AA185" i="28"/>
  <c r="C301" i="28"/>
  <c r="AG314" i="22"/>
  <c r="B24" i="31"/>
  <c r="A304" i="24"/>
  <c r="AA22" i="28"/>
  <c r="B75" i="4"/>
  <c r="AA28" i="21"/>
  <c r="A12" i="19"/>
  <c r="AA326" i="24"/>
  <c r="AA318" i="19"/>
  <c r="AI227" i="26"/>
  <c r="AG231" i="22"/>
  <c r="AA235" i="27"/>
  <c r="AE235" i="3"/>
  <c r="AA319" i="29"/>
  <c r="AI237" i="28"/>
  <c r="AA247" i="22"/>
  <c r="AA167" i="3"/>
  <c r="AE207" i="22"/>
  <c r="AA447" i="3"/>
  <c r="B16" i="24"/>
  <c r="D17" i="25"/>
  <c r="AA203" i="26"/>
  <c r="A5" i="17"/>
  <c r="AA178" i="20"/>
  <c r="AA166" i="28"/>
  <c r="AA171" i="24"/>
  <c r="AA417" i="25"/>
  <c r="AA209" i="26"/>
  <c r="D306" i="29"/>
  <c r="AA440" i="29"/>
  <c r="B18" i="14"/>
  <c r="AG241" i="28"/>
  <c r="AA430" i="29"/>
  <c r="AA170" i="3"/>
  <c r="B7" i="24"/>
  <c r="I17" i="20"/>
  <c r="D18" i="25"/>
  <c r="AE226" i="20"/>
  <c r="AA149" i="23"/>
  <c r="AE225" i="21"/>
  <c r="B301" i="23"/>
  <c r="AA218" i="24"/>
  <c r="AA430" i="22"/>
  <c r="AA170" i="19"/>
  <c r="AA206" i="23"/>
  <c r="AA157" i="21"/>
  <c r="I259" i="19"/>
  <c r="AA173" i="24"/>
  <c r="AA201" i="19"/>
  <c r="AA171" i="20"/>
  <c r="AF32" i="24"/>
  <c r="AA187" i="27"/>
  <c r="A307" i="19"/>
  <c r="AA163" i="3"/>
  <c r="AA436" i="3"/>
  <c r="AE217" i="19"/>
  <c r="AA425" i="23"/>
  <c r="AA155" i="28"/>
  <c r="AA225" i="23"/>
  <c r="AA370" i="26"/>
  <c r="AA169" i="22"/>
  <c r="B52" i="31"/>
  <c r="B305" i="23"/>
  <c r="AE23" i="3"/>
  <c r="E14" i="20"/>
  <c r="AG240" i="23"/>
  <c r="B104" i="31"/>
  <c r="AE25" i="26"/>
  <c r="AA218" i="29"/>
  <c r="AE27" i="24"/>
  <c r="A303" i="27"/>
  <c r="AA220" i="27"/>
  <c r="AE246" i="28"/>
  <c r="AE33" i="29"/>
  <c r="AA449" i="25"/>
  <c r="AA230" i="29"/>
  <c r="AJ151" i="25"/>
  <c r="AH372" i="23"/>
  <c r="AA23" i="26"/>
  <c r="G6" i="18"/>
  <c r="AE34" i="24"/>
  <c r="AA406" i="21"/>
  <c r="AF154" i="26"/>
  <c r="C301" i="26"/>
  <c r="AA311" i="28"/>
  <c r="AA173" i="22"/>
  <c r="D300" i="28"/>
  <c r="AA373" i="25"/>
  <c r="B87" i="31"/>
  <c r="AE38" i="26"/>
  <c r="AA29" i="25"/>
  <c r="AE25" i="27"/>
  <c r="D14" i="17"/>
  <c r="AA41" i="28"/>
  <c r="D300" i="24"/>
  <c r="AA379" i="28"/>
  <c r="AA240" i="21"/>
  <c r="D15" i="20"/>
  <c r="AE234" i="20"/>
  <c r="AA392" i="20"/>
  <c r="AA172" i="23"/>
  <c r="AA322" i="27"/>
  <c r="E301" i="27"/>
  <c r="AA158" i="20"/>
  <c r="E306" i="21"/>
  <c r="AA225" i="21"/>
  <c r="AA219" i="25"/>
  <c r="H14" i="24"/>
  <c r="B18" i="31"/>
  <c r="A1" i="14"/>
  <c r="AA206" i="28"/>
  <c r="AC375" i="25"/>
  <c r="AF161" i="26"/>
  <c r="AA443" i="23"/>
  <c r="G13" i="3"/>
  <c r="AQ151" i="19"/>
  <c r="AA457" i="29"/>
  <c r="AB155" i="19"/>
  <c r="AE33" i="20"/>
  <c r="AA172" i="21"/>
  <c r="I259" i="29"/>
  <c r="AE210" i="28"/>
  <c r="AE247" i="3"/>
  <c r="C306" i="19"/>
  <c r="AE228" i="29"/>
  <c r="D14" i="23"/>
  <c r="AA317" i="22"/>
  <c r="AA42" i="22"/>
  <c r="A19" i="20"/>
  <c r="C262" i="23"/>
  <c r="AA244" i="26"/>
  <c r="AA206" i="19"/>
  <c r="AA327" i="28"/>
  <c r="AA245" i="24"/>
  <c r="A260" i="19"/>
  <c r="AA373" i="27"/>
  <c r="C18" i="29"/>
  <c r="AA160" i="29"/>
  <c r="AE239" i="28"/>
  <c r="A306" i="25"/>
  <c r="AA148" i="23"/>
  <c r="AF35" i="26"/>
  <c r="AA244" i="28"/>
  <c r="AA428" i="21"/>
  <c r="AI20" i="22"/>
  <c r="AA220" i="20"/>
  <c r="AA333" i="23"/>
  <c r="E302" i="24"/>
  <c r="D302" i="3"/>
  <c r="AA322" i="23"/>
  <c r="AG154" i="3"/>
  <c r="C17" i="21"/>
  <c r="AA29" i="29"/>
  <c r="AA42" i="19"/>
  <c r="AA428" i="22"/>
  <c r="A260" i="24"/>
  <c r="AA328" i="22"/>
  <c r="A295" i="25"/>
  <c r="A15" i="15"/>
  <c r="G7" i="20"/>
  <c r="A4" i="17"/>
  <c r="AE225" i="19"/>
  <c r="AE227" i="20"/>
  <c r="AA392" i="29"/>
  <c r="AA176" i="27"/>
  <c r="I14" i="27"/>
  <c r="AA27" i="29"/>
  <c r="AA211" i="24"/>
  <c r="A304" i="29"/>
  <c r="B9" i="31"/>
  <c r="AE314" i="23"/>
  <c r="B78" i="4"/>
  <c r="AE211" i="28"/>
  <c r="AA328" i="3"/>
  <c r="AE237" i="21"/>
  <c r="AA23" i="24"/>
  <c r="AA38" i="26"/>
  <c r="I29" i="18"/>
  <c r="AA320" i="23"/>
  <c r="AA26" i="21"/>
  <c r="AA202" i="19"/>
  <c r="AE246" i="26"/>
  <c r="AA383" i="22"/>
  <c r="AE32" i="20"/>
  <c r="AA328" i="27"/>
  <c r="AA160" i="22"/>
  <c r="G6" i="24"/>
  <c r="B57" i="31"/>
  <c r="AI25" i="27"/>
  <c r="E16" i="20"/>
  <c r="A2" i="14"/>
  <c r="AA320" i="25"/>
  <c r="AA374" i="22"/>
  <c r="A12" i="3"/>
  <c r="AA151" i="21"/>
  <c r="AA332" i="3"/>
  <c r="AA436" i="21"/>
  <c r="D14" i="29"/>
  <c r="AA244" i="25"/>
  <c r="B14" i="25"/>
  <c r="B29" i="31"/>
  <c r="D25" i="17"/>
  <c r="AE35" i="20"/>
  <c r="F16" i="26"/>
  <c r="A12" i="15"/>
  <c r="AA40" i="3"/>
  <c r="AA436" i="22"/>
  <c r="D306" i="23"/>
  <c r="AA213" i="21"/>
  <c r="G16" i="21"/>
  <c r="A298" i="3"/>
  <c r="AA1" i="25"/>
  <c r="C13" i="3"/>
  <c r="AA178" i="24"/>
  <c r="AA180" i="20"/>
  <c r="AE25" i="22"/>
  <c r="B15" i="25"/>
  <c r="C300" i="22"/>
  <c r="A304" i="25"/>
  <c r="AH372" i="29"/>
  <c r="AA164" i="28"/>
  <c r="AA380" i="23"/>
  <c r="H14" i="20"/>
  <c r="AA176" i="21"/>
  <c r="B301" i="24"/>
  <c r="AE25" i="20"/>
  <c r="AA152" i="22"/>
  <c r="AF37" i="19"/>
  <c r="AA188" i="20"/>
  <c r="B82" i="4"/>
  <c r="AA217" i="26"/>
  <c r="AA159" i="24"/>
  <c r="AA380" i="21"/>
  <c r="AA203" i="19"/>
  <c r="A300" i="27"/>
  <c r="AA174" i="26"/>
  <c r="E15" i="28"/>
  <c r="AA27" i="25"/>
  <c r="AA229" i="25"/>
  <c r="AF314" i="26"/>
  <c r="A302" i="22"/>
  <c r="AA433" i="3"/>
  <c r="I46" i="24"/>
  <c r="AA227" i="23"/>
  <c r="AA317" i="26"/>
  <c r="D304" i="21"/>
  <c r="AE234" i="22"/>
  <c r="AA204" i="25"/>
  <c r="AA148" i="28"/>
  <c r="H262" i="25"/>
  <c r="AA318" i="29"/>
  <c r="C15" i="24"/>
  <c r="AA425" i="27"/>
  <c r="A46" i="26"/>
  <c r="AA241" i="26"/>
  <c r="B37" i="31"/>
  <c r="AA246" i="25"/>
  <c r="I15" i="28"/>
  <c r="AA163" i="28"/>
  <c r="AA234" i="3"/>
  <c r="E305" i="19"/>
  <c r="AE219" i="29"/>
  <c r="AE229" i="21"/>
  <c r="AA332" i="28"/>
  <c r="AE27" i="27"/>
  <c r="AE43" i="20"/>
  <c r="AA167" i="24"/>
  <c r="AA165" i="23"/>
  <c r="A303" i="21"/>
  <c r="AA318" i="21"/>
  <c r="C299" i="22"/>
  <c r="AA39" i="25"/>
  <c r="AI309" i="19"/>
  <c r="AA200" i="20"/>
  <c r="D262" i="23"/>
  <c r="AC316" i="3"/>
  <c r="AE204" i="24"/>
  <c r="A22" i="4"/>
  <c r="B7" i="19"/>
  <c r="AA170" i="28"/>
  <c r="AA199" i="3"/>
  <c r="B49" i="4"/>
  <c r="B7" i="26"/>
  <c r="A295" i="23"/>
  <c r="AF151" i="28"/>
  <c r="AA402" i="22"/>
  <c r="AA239" i="23"/>
  <c r="E14" i="22"/>
  <c r="E13" i="19"/>
  <c r="AE214" i="29"/>
  <c r="AF34" i="20"/>
  <c r="H18" i="23"/>
  <c r="AA230" i="22"/>
  <c r="AA174" i="28"/>
  <c r="AA181" i="22"/>
  <c r="AE227" i="3"/>
  <c r="AA407" i="26"/>
  <c r="AA247" i="21"/>
  <c r="B58" i="31"/>
  <c r="AA167" i="23"/>
  <c r="A26" i="4"/>
  <c r="AA2" i="26"/>
  <c r="D307" i="26"/>
  <c r="AE151" i="20"/>
  <c r="AA202" i="26"/>
  <c r="D303" i="20"/>
  <c r="D299" i="27"/>
  <c r="AA447" i="26"/>
  <c r="F14" i="20"/>
  <c r="AA158" i="3"/>
  <c r="AA189" i="24"/>
  <c r="AA1" i="23"/>
  <c r="AA180" i="23"/>
  <c r="AI27" i="24"/>
  <c r="I18" i="23"/>
  <c r="AA320" i="26"/>
  <c r="AA323" i="24"/>
  <c r="H14" i="22"/>
  <c r="AA30" i="29"/>
  <c r="B299" i="3"/>
  <c r="AA324" i="27"/>
  <c r="I15" i="20"/>
  <c r="AE215" i="26"/>
  <c r="A24" i="14"/>
  <c r="AE449" i="25"/>
  <c r="AA399" i="27"/>
  <c r="E18" i="27"/>
  <c r="E305" i="3"/>
  <c r="AA399" i="20"/>
  <c r="AA149" i="20"/>
  <c r="AA25" i="26"/>
  <c r="AA35" i="24"/>
  <c r="B81" i="31"/>
  <c r="AA383" i="25"/>
  <c r="AA387" i="23"/>
  <c r="AA415" i="19"/>
  <c r="D299" i="19"/>
  <c r="AA161" i="28"/>
  <c r="AA151" i="28"/>
  <c r="C14" i="24"/>
  <c r="D302" i="28"/>
  <c r="B5" i="28"/>
  <c r="AG372" i="23"/>
  <c r="G17" i="20"/>
  <c r="C302" i="22"/>
  <c r="AE43" i="25"/>
  <c r="E13" i="29"/>
  <c r="AA331" i="21"/>
  <c r="AA390" i="19"/>
  <c r="C11" i="14"/>
  <c r="B17" i="22"/>
  <c r="A73" i="4"/>
  <c r="AA408" i="20"/>
  <c r="AA31" i="29"/>
  <c r="A19" i="22"/>
  <c r="L29" i="18"/>
  <c r="AA409" i="24"/>
  <c r="AG230" i="19"/>
  <c r="AA376" i="23"/>
  <c r="AA165" i="25"/>
  <c r="AA432" i="3"/>
  <c r="AE151" i="19"/>
  <c r="AE209" i="28"/>
  <c r="I18" i="25"/>
  <c r="B12" i="31"/>
  <c r="AA382" i="25"/>
  <c r="AE202" i="27"/>
  <c r="AH151" i="19"/>
  <c r="AA375" i="19"/>
  <c r="A302" i="28"/>
  <c r="A263" i="23"/>
  <c r="AK154" i="19"/>
  <c r="E17" i="20"/>
  <c r="AA377" i="25"/>
  <c r="D17" i="23"/>
  <c r="G84" i="4"/>
  <c r="AE238" i="27"/>
  <c r="AG240" i="24"/>
  <c r="AD314" i="22"/>
  <c r="AF154" i="29"/>
  <c r="A89" i="4"/>
  <c r="AE220" i="3"/>
  <c r="AG240" i="26"/>
  <c r="AE36" i="28"/>
  <c r="AE215" i="28"/>
  <c r="AA32" i="28"/>
  <c r="AE34" i="23"/>
  <c r="AA36" i="23"/>
  <c r="AA412" i="29"/>
  <c r="G14" i="21"/>
  <c r="AE241" i="29"/>
  <c r="AE35" i="25"/>
  <c r="AA329" i="27"/>
  <c r="AA449" i="28"/>
  <c r="B15" i="26"/>
  <c r="AA393" i="22"/>
  <c r="AA316" i="21"/>
  <c r="I13" i="27"/>
  <c r="AA174" i="23"/>
  <c r="AG36" i="3"/>
  <c r="AE226" i="19"/>
  <c r="B7" i="22"/>
  <c r="AA169" i="26"/>
  <c r="AA319" i="26"/>
  <c r="AA440" i="27"/>
  <c r="A52" i="4"/>
  <c r="AA456" i="19"/>
  <c r="H262" i="29"/>
  <c r="AA380" i="28"/>
  <c r="AA329" i="25"/>
  <c r="C307" i="26"/>
  <c r="C70" i="4"/>
  <c r="AA155" i="22"/>
  <c r="AE34" i="28"/>
  <c r="AA231" i="29"/>
  <c r="I259" i="22"/>
  <c r="AA320" i="24"/>
  <c r="B13" i="3"/>
  <c r="AA409" i="27"/>
  <c r="AA414" i="28"/>
  <c r="AA210" i="26"/>
  <c r="AH372" i="19"/>
  <c r="A303" i="3"/>
  <c r="AA177" i="20"/>
  <c r="B55" i="31"/>
  <c r="A302" i="29"/>
  <c r="A305" i="28"/>
  <c r="AA23" i="21"/>
  <c r="AA444" i="3"/>
  <c r="AA226" i="21"/>
  <c r="AA438" i="3"/>
  <c r="AA39" i="27"/>
  <c r="I146" i="24"/>
  <c r="AA421" i="3"/>
  <c r="AA227" i="28"/>
  <c r="E301" i="23"/>
  <c r="E301" i="25"/>
  <c r="C17" i="3"/>
  <c r="AE151" i="28"/>
  <c r="AA410" i="22"/>
  <c r="B105" i="31"/>
  <c r="AA372" i="22"/>
  <c r="AA171" i="21"/>
  <c r="AE234" i="24"/>
  <c r="AI199" i="25"/>
  <c r="AA417" i="20"/>
  <c r="AF314" i="28"/>
  <c r="AA379" i="20"/>
  <c r="AA417" i="28"/>
  <c r="AA399" i="3"/>
  <c r="F17" i="19"/>
  <c r="AA171" i="27"/>
  <c r="AA200" i="25"/>
  <c r="I18" i="19"/>
  <c r="H14" i="26"/>
  <c r="A48" i="27"/>
  <c r="AE206" i="27"/>
  <c r="A27" i="4"/>
  <c r="AE27" i="21"/>
  <c r="AA331" i="20"/>
  <c r="AA245" i="19"/>
  <c r="AA323" i="3"/>
  <c r="AA371" i="20"/>
  <c r="D26" i="15"/>
  <c r="F16" i="20"/>
  <c r="AE235" i="19"/>
  <c r="AA29" i="22"/>
  <c r="AA415" i="20"/>
  <c r="AA172" i="28"/>
  <c r="AI20" i="29"/>
  <c r="AA385" i="21"/>
  <c r="AA372" i="25"/>
  <c r="AE151" i="21"/>
  <c r="AA189" i="27"/>
  <c r="AA404" i="25"/>
  <c r="AA29" i="19"/>
  <c r="AA27" i="19"/>
  <c r="B302" i="22"/>
  <c r="F18" i="20"/>
  <c r="AA214" i="27"/>
  <c r="D15" i="19"/>
  <c r="B25" i="31"/>
  <c r="AA1" i="24"/>
  <c r="D18" i="28"/>
  <c r="E307" i="22"/>
  <c r="AA438" i="29"/>
  <c r="AE206" i="23"/>
  <c r="A18" i="15"/>
  <c r="AA170" i="23"/>
  <c r="AA234" i="24"/>
  <c r="C16" i="27"/>
  <c r="A12" i="28"/>
  <c r="AA417" i="3"/>
  <c r="A26" i="17"/>
  <c r="B14" i="27"/>
  <c r="AA407" i="27"/>
  <c r="AI237" i="19"/>
  <c r="B39" i="31"/>
  <c r="B303" i="19"/>
  <c r="A12" i="25"/>
  <c r="AP151" i="19"/>
  <c r="AE246" i="27"/>
  <c r="AA457" i="25"/>
  <c r="AA457" i="28"/>
  <c r="AC375" i="3"/>
  <c r="E306" i="29"/>
  <c r="B14" i="31"/>
  <c r="AI372" i="25"/>
  <c r="B12" i="19"/>
  <c r="AA202" i="28"/>
  <c r="I145" i="24"/>
  <c r="AA372" i="20"/>
  <c r="C15" i="28"/>
  <c r="AE228" i="3"/>
  <c r="AA440" i="24"/>
  <c r="AA22" i="3"/>
  <c r="G14" i="22"/>
  <c r="AE33" i="24"/>
  <c r="B23" i="14"/>
  <c r="AA311" i="26"/>
  <c r="AA327" i="25"/>
  <c r="AA438" i="22"/>
  <c r="AA44" i="21"/>
  <c r="I14" i="29"/>
  <c r="AE219" i="3"/>
  <c r="AA2" i="23"/>
  <c r="AA432" i="20"/>
  <c r="A102" i="4"/>
  <c r="AA36" i="27"/>
  <c r="AA390" i="25"/>
  <c r="AA433" i="27"/>
  <c r="AA206" i="27"/>
  <c r="AA374" i="20"/>
  <c r="B303" i="3"/>
  <c r="G13" i="28"/>
  <c r="AA399" i="19"/>
  <c r="G18" i="21"/>
  <c r="AA437" i="24"/>
  <c r="C16" i="20"/>
  <c r="AA423" i="29"/>
  <c r="AA164" i="20"/>
  <c r="AE207" i="24"/>
  <c r="AA23" i="19"/>
  <c r="AA409" i="21"/>
  <c r="AE36" i="27"/>
  <c r="AA430" i="24"/>
  <c r="B16" i="20"/>
  <c r="D17" i="26"/>
  <c r="AA38" i="25"/>
  <c r="AA247" i="28"/>
  <c r="AA45" i="25"/>
  <c r="AA246" i="22"/>
  <c r="AE236" i="29"/>
  <c r="D301" i="22"/>
  <c r="AA370" i="21"/>
  <c r="A82" i="4"/>
  <c r="AA185" i="27"/>
  <c r="A300" i="20"/>
  <c r="AE239" i="29"/>
  <c r="AG36" i="21"/>
  <c r="G6" i="28"/>
  <c r="H15" i="23"/>
  <c r="E18" i="24"/>
  <c r="G6" i="21"/>
  <c r="E302" i="27"/>
  <c r="AG241" i="26"/>
  <c r="E307" i="26"/>
  <c r="AE210" i="20"/>
  <c r="AA423" i="23"/>
  <c r="AF39" i="19"/>
  <c r="AA333" i="24"/>
  <c r="A305" i="27"/>
  <c r="AI25" i="3"/>
  <c r="AA165" i="27"/>
  <c r="AA220" i="19"/>
  <c r="AA150" i="23"/>
  <c r="AE203" i="22"/>
  <c r="AE31" i="27"/>
  <c r="AE241" i="25"/>
  <c r="AA23" i="27"/>
  <c r="AA1" i="20"/>
  <c r="AA157" i="19"/>
  <c r="AA412" i="25"/>
  <c r="B306" i="22"/>
  <c r="G4" i="18"/>
  <c r="B104" i="4"/>
  <c r="C18" i="19"/>
  <c r="AA36" i="29"/>
  <c r="AA414" i="20"/>
  <c r="D301" i="23"/>
  <c r="AA213" i="29"/>
  <c r="A48" i="29"/>
  <c r="AA27" i="28"/>
  <c r="AE206" i="20"/>
  <c r="AA33" i="23"/>
  <c r="AA20" i="23"/>
  <c r="AE39" i="26"/>
  <c r="AE209" i="3"/>
  <c r="AA150" i="27"/>
  <c r="AA41" i="27"/>
  <c r="AA428" i="19"/>
  <c r="B5" i="29"/>
  <c r="AA149" i="22"/>
  <c r="AA217" i="22"/>
  <c r="AA28" i="20"/>
  <c r="AA371" i="28"/>
  <c r="AD314" i="28"/>
  <c r="AA449" i="24"/>
  <c r="A19" i="15"/>
  <c r="AA20" i="21"/>
  <c r="AI27" i="3"/>
  <c r="AE30" i="3"/>
  <c r="AB155" i="23"/>
  <c r="C262" i="25"/>
  <c r="AA183" i="3"/>
  <c r="H13" i="20"/>
  <c r="E300" i="21"/>
  <c r="AA382" i="26"/>
  <c r="AA438" i="19"/>
  <c r="E304" i="3"/>
  <c r="B78" i="31"/>
  <c r="AG241" i="23"/>
  <c r="AE28" i="28"/>
  <c r="A10" i="14"/>
  <c r="D13" i="25"/>
  <c r="AA225" i="20"/>
  <c r="C16" i="21"/>
  <c r="AE35" i="27"/>
  <c r="AE215" i="22"/>
  <c r="AA226" i="26"/>
  <c r="H114" i="4"/>
  <c r="A110" i="4"/>
  <c r="AA194" i="26"/>
  <c r="AA229" i="22"/>
  <c r="AA374" i="3"/>
  <c r="C303" i="23"/>
  <c r="AA30" i="27"/>
  <c r="H15" i="27"/>
  <c r="E262" i="22"/>
  <c r="I262" i="20"/>
  <c r="A262" i="20"/>
  <c r="B301" i="21"/>
  <c r="B95" i="4"/>
  <c r="AA404" i="3"/>
  <c r="B303" i="25"/>
  <c r="D262" i="25"/>
  <c r="AA430" i="20"/>
  <c r="AA247" i="27"/>
  <c r="AF34" i="28"/>
  <c r="Q302" i="27"/>
  <c r="AG221" i="24"/>
  <c r="AA166" i="29"/>
  <c r="AA372" i="3"/>
  <c r="D15" i="22"/>
  <c r="AA164" i="19"/>
  <c r="AI227" i="23"/>
  <c r="AA151" i="20"/>
  <c r="AE218" i="29"/>
  <c r="AA186" i="21"/>
  <c r="AE247" i="21"/>
  <c r="AE229" i="24"/>
  <c r="AE215" i="23"/>
  <c r="AA246" i="27"/>
  <c r="AE238" i="24"/>
  <c r="B41" i="31"/>
  <c r="AA26" i="22"/>
  <c r="F15" i="20"/>
  <c r="AA230" i="23"/>
  <c r="D262" i="19"/>
  <c r="AA162" i="29"/>
  <c r="AA182" i="21"/>
  <c r="AA376" i="3"/>
  <c r="AA213" i="22"/>
  <c r="AE43" i="26"/>
  <c r="AA1" i="19"/>
  <c r="AE218" i="19"/>
  <c r="AA314" i="20"/>
  <c r="AG241" i="29"/>
  <c r="AA241" i="3"/>
  <c r="G5" i="27"/>
  <c r="A263" i="27"/>
  <c r="C9" i="14"/>
  <c r="AF34" i="24"/>
  <c r="AA320" i="20"/>
  <c r="A9" i="14"/>
  <c r="B301" i="29"/>
  <c r="AA428" i="23"/>
  <c r="B7" i="28"/>
  <c r="D16" i="19"/>
  <c r="D304" i="3"/>
  <c r="G16" i="24"/>
  <c r="AI20" i="25"/>
  <c r="AA421" i="21"/>
  <c r="AA202" i="24"/>
  <c r="C302" i="27"/>
  <c r="B6" i="26"/>
  <c r="AA319" i="20"/>
  <c r="AA158" i="29"/>
  <c r="AA31" i="22"/>
  <c r="AA45" i="28"/>
  <c r="AA200" i="29"/>
  <c r="AA406" i="19"/>
  <c r="AA447" i="22"/>
  <c r="AA173" i="27"/>
  <c r="AA371" i="25"/>
  <c r="E262" i="29"/>
  <c r="AF161" i="25"/>
  <c r="AA312" i="21"/>
  <c r="I13" i="29"/>
  <c r="A302" i="19"/>
  <c r="AA167" i="26"/>
  <c r="AA229" i="27"/>
  <c r="C18" i="25"/>
  <c r="AC375" i="23"/>
  <c r="D304" i="19"/>
  <c r="B77" i="31"/>
  <c r="AA210" i="19"/>
  <c r="AA40" i="24"/>
  <c r="AA377" i="19"/>
  <c r="A48" i="3"/>
  <c r="C13" i="29"/>
  <c r="AE28" i="24"/>
  <c r="AA218" i="3"/>
  <c r="AA44" i="26"/>
  <c r="A306" i="24"/>
  <c r="AI244" i="24"/>
  <c r="AA415" i="21"/>
  <c r="B6" i="24"/>
  <c r="AE214" i="25"/>
  <c r="AI199" i="23"/>
  <c r="AA451" i="27"/>
  <c r="AG221" i="3"/>
  <c r="AA211" i="26"/>
  <c r="C17" i="23"/>
  <c r="B18" i="28"/>
  <c r="A13" i="15"/>
  <c r="AA34" i="25"/>
  <c r="AA203" i="27"/>
  <c r="AA146" i="28"/>
  <c r="AE31" i="23"/>
  <c r="C307" i="29"/>
  <c r="G262" i="25"/>
  <c r="AE36" i="29"/>
  <c r="AA399" i="24"/>
  <c r="B9" i="18"/>
  <c r="H16" i="28"/>
  <c r="AA203" i="25"/>
  <c r="AA44" i="3"/>
  <c r="AA457" i="23"/>
  <c r="AA30" i="3"/>
  <c r="AE28" i="22"/>
  <c r="AA38" i="19"/>
  <c r="AA219" i="23"/>
  <c r="AA201" i="22"/>
  <c r="AA408" i="23"/>
  <c r="AA383" i="21"/>
  <c r="B118" i="4"/>
  <c r="AA31" i="27"/>
  <c r="AA214" i="28"/>
  <c r="AE34" i="29"/>
  <c r="F17" i="27"/>
  <c r="AA372" i="28"/>
  <c r="AE231" i="29"/>
  <c r="AA227" i="29"/>
  <c r="AA321" i="28"/>
  <c r="A259" i="29"/>
  <c r="H18" i="19"/>
  <c r="AA241" i="19"/>
  <c r="AA152" i="27"/>
  <c r="B5" i="20"/>
  <c r="B106" i="31"/>
  <c r="AA43" i="27"/>
  <c r="AA221" i="24"/>
  <c r="AE203" i="27"/>
  <c r="AA320" i="21"/>
  <c r="AA235" i="23"/>
  <c r="AE227" i="29"/>
  <c r="AA35" i="29"/>
  <c r="B300" i="28"/>
  <c r="AE234" i="27"/>
  <c r="AE210" i="24"/>
  <c r="B72" i="4"/>
  <c r="AI227" i="28"/>
  <c r="AE219" i="27"/>
  <c r="D18" i="21"/>
  <c r="C299" i="27"/>
  <c r="A81" i="4"/>
  <c r="AA245" i="26"/>
  <c r="AE39" i="21"/>
  <c r="B70" i="31"/>
  <c r="AF151" i="21"/>
  <c r="A300" i="24"/>
  <c r="I259" i="20"/>
  <c r="AE227" i="24"/>
  <c r="AA209" i="22"/>
  <c r="C303" i="27"/>
  <c r="AA237" i="21"/>
  <c r="AA385" i="23"/>
  <c r="E15" i="23"/>
  <c r="AA44" i="19"/>
  <c r="AF154" i="28"/>
  <c r="AG372" i="25"/>
  <c r="AA34" i="27"/>
  <c r="AA229" i="3"/>
  <c r="C15" i="22"/>
  <c r="AA43" i="28"/>
  <c r="AA228" i="22"/>
  <c r="C18" i="24"/>
  <c r="AA151" i="27"/>
  <c r="C306" i="21"/>
  <c r="H16" i="25"/>
  <c r="AI372" i="21"/>
  <c r="AA152" i="3"/>
  <c r="AA167" i="20"/>
  <c r="H16" i="3"/>
  <c r="AG241" i="20"/>
  <c r="A15" i="14"/>
  <c r="AA380" i="22"/>
  <c r="A299" i="25"/>
  <c r="AA393" i="20"/>
  <c r="AI372" i="19"/>
  <c r="AA174" i="29"/>
  <c r="B305" i="3"/>
  <c r="AA327" i="27"/>
  <c r="D299" i="21"/>
  <c r="E302" i="25"/>
  <c r="AI372" i="24"/>
  <c r="AA217" i="3"/>
  <c r="C14" i="28"/>
  <c r="B300" i="29"/>
  <c r="AE209" i="22"/>
  <c r="AE241" i="26"/>
  <c r="D13" i="29"/>
  <c r="AA321" i="29"/>
  <c r="AA316" i="23"/>
  <c r="AA34" i="23"/>
  <c r="AA38" i="27"/>
  <c r="A32" i="4"/>
  <c r="AE219" i="21"/>
  <c r="AE240" i="24"/>
  <c r="AA309" i="21"/>
  <c r="AD314" i="24"/>
  <c r="AA404" i="19"/>
  <c r="C17" i="28"/>
  <c r="AA410" i="20"/>
  <c r="G16" i="27"/>
  <c r="AA371" i="26"/>
  <c r="AE227" i="19"/>
  <c r="D304" i="23"/>
  <c r="AA313" i="22"/>
  <c r="AA423" i="25"/>
  <c r="B262" i="3"/>
  <c r="AA327" i="29"/>
  <c r="C300" i="26"/>
  <c r="AE206" i="22"/>
  <c r="AE226" i="26"/>
  <c r="AA371" i="3"/>
  <c r="AA211" i="21"/>
  <c r="AA165" i="29"/>
  <c r="D18" i="27"/>
  <c r="AA35" i="27"/>
  <c r="C306" i="23"/>
  <c r="A38" i="4"/>
  <c r="AA430" i="21"/>
  <c r="AA379" i="25"/>
  <c r="AA437" i="21"/>
  <c r="A101" i="4"/>
  <c r="AE221" i="20"/>
  <c r="AE241" i="19"/>
  <c r="AE246" i="3"/>
  <c r="AA150" i="21"/>
  <c r="AG154" i="28"/>
  <c r="AA177" i="21"/>
  <c r="AE241" i="24"/>
  <c r="B261" i="22"/>
  <c r="AA329" i="3"/>
  <c r="AA327" i="3"/>
  <c r="AA407" i="29"/>
  <c r="I46" i="22"/>
  <c r="AA234" i="28"/>
  <c r="AA189" i="20"/>
  <c r="A46" i="21"/>
  <c r="B7" i="31"/>
  <c r="AA421" i="20"/>
  <c r="AE449" i="28"/>
  <c r="Q302" i="25"/>
  <c r="G16" i="23"/>
  <c r="AA184" i="22"/>
  <c r="AA392" i="28"/>
  <c r="A306" i="29"/>
  <c r="AA313" i="25"/>
  <c r="AF32" i="23"/>
  <c r="AA372" i="23"/>
  <c r="AI237" i="21"/>
  <c r="C29" i="18"/>
  <c r="AA171" i="28"/>
  <c r="AA236" i="21"/>
  <c r="AA150" i="29"/>
  <c r="AG220" i="28"/>
  <c r="AA45" i="24"/>
  <c r="C301" i="19"/>
  <c r="B261" i="21"/>
  <c r="AA33" i="24"/>
  <c r="AA32" i="19"/>
  <c r="D24" i="17"/>
  <c r="AF151" i="27"/>
  <c r="B28" i="31"/>
  <c r="F15" i="28"/>
  <c r="D303" i="19"/>
  <c r="I145" i="29"/>
  <c r="AA20" i="25"/>
  <c r="AE23" i="25"/>
  <c r="A12" i="20"/>
  <c r="AA166" i="19"/>
  <c r="B18" i="19"/>
  <c r="AA379" i="3"/>
  <c r="I259" i="21"/>
  <c r="AI25" i="24"/>
  <c r="AA206" i="21"/>
  <c r="AI27" i="25"/>
  <c r="AE210" i="22"/>
  <c r="H17" i="21"/>
  <c r="AE224" i="24"/>
  <c r="C301" i="3"/>
  <c r="B96" i="31"/>
  <c r="C307" i="3"/>
  <c r="AA414" i="19"/>
  <c r="AA382" i="3"/>
  <c r="AA319" i="22"/>
  <c r="A260" i="29"/>
  <c r="AA184" i="28"/>
  <c r="B16" i="21"/>
  <c r="B304" i="19"/>
  <c r="AI237" i="27"/>
  <c r="AE236" i="3"/>
  <c r="AA390" i="23"/>
  <c r="AA203" i="28"/>
  <c r="A109" i="4"/>
  <c r="AE211" i="29"/>
  <c r="AA31" i="21"/>
  <c r="AI20" i="28"/>
  <c r="AE221" i="19"/>
  <c r="B16" i="3"/>
  <c r="E14" i="29"/>
  <c r="Q302" i="23"/>
  <c r="AA410" i="21"/>
  <c r="A304" i="19"/>
  <c r="A96" i="4"/>
  <c r="D16" i="15"/>
  <c r="AA23" i="23"/>
  <c r="AE35" i="29"/>
  <c r="AI199" i="19"/>
  <c r="B81" i="4"/>
  <c r="AA22" i="25"/>
  <c r="H17" i="29"/>
  <c r="AI309" i="22"/>
  <c r="C13" i="22"/>
  <c r="AG359" i="21"/>
  <c r="AF32" i="27"/>
  <c r="AA219" i="20"/>
  <c r="E16" i="22"/>
  <c r="AE204" i="27"/>
  <c r="C16" i="28"/>
  <c r="P307" i="3"/>
  <c r="A19" i="27"/>
  <c r="AA370" i="22"/>
  <c r="AC375" i="19"/>
  <c r="I13" i="23"/>
  <c r="AA173" i="19"/>
  <c r="AA433" i="22"/>
  <c r="AA29" i="27"/>
  <c r="AA182" i="28"/>
  <c r="AA183" i="25"/>
  <c r="AE236" i="28"/>
  <c r="A305" i="25"/>
  <c r="AA247" i="29"/>
  <c r="AA419" i="22"/>
  <c r="B89" i="31"/>
  <c r="I16" i="20"/>
  <c r="AA176" i="3"/>
  <c r="AI27" i="19"/>
  <c r="F18" i="29"/>
  <c r="AF37" i="29"/>
  <c r="AE247" i="27"/>
  <c r="AA219" i="22"/>
  <c r="A263" i="20"/>
  <c r="AA407" i="19"/>
  <c r="G13" i="27"/>
  <c r="B64" i="31"/>
  <c r="G6" i="20"/>
  <c r="I259" i="3"/>
  <c r="AA237" i="3"/>
  <c r="AA220" i="26"/>
  <c r="AA152" i="28"/>
  <c r="D97" i="4"/>
  <c r="AA183" i="20"/>
  <c r="AA408" i="3"/>
  <c r="AA159" i="23"/>
  <c r="AA316" i="3"/>
  <c r="I14" i="28"/>
  <c r="B7" i="3"/>
  <c r="AE238" i="25"/>
  <c r="E16" i="24"/>
  <c r="E300" i="22"/>
  <c r="AA162" i="19"/>
  <c r="AA244" i="22"/>
  <c r="E300" i="28"/>
  <c r="I16" i="22"/>
  <c r="AA428" i="25"/>
  <c r="AA325" i="25"/>
  <c r="AA402" i="21"/>
  <c r="AE220" i="22"/>
  <c r="AE203" i="24"/>
  <c r="G17" i="22"/>
  <c r="P307" i="20"/>
  <c r="AA318" i="23"/>
  <c r="H16" i="27"/>
  <c r="AA43" i="22"/>
  <c r="AE246" i="19"/>
  <c r="AA325" i="24"/>
  <c r="AA161" i="26"/>
  <c r="B105" i="4"/>
  <c r="AE39" i="22"/>
  <c r="G13" i="20"/>
  <c r="AF33" i="28"/>
  <c r="AA30" i="22"/>
  <c r="AA415" i="22"/>
  <c r="C307" i="23"/>
  <c r="F9" i="18"/>
  <c r="AE240" i="20"/>
  <c r="G18" i="20"/>
  <c r="AA408" i="26"/>
  <c r="AA152" i="23"/>
  <c r="AA406" i="26"/>
  <c r="I16" i="21"/>
  <c r="A262" i="28"/>
  <c r="AA28" i="3"/>
  <c r="B23" i="31"/>
  <c r="D26" i="17"/>
  <c r="AA181" i="21"/>
  <c r="C300" i="20"/>
  <c r="AJ154" i="25"/>
  <c r="AA440" i="22"/>
  <c r="AE207" i="3"/>
  <c r="AA209" i="24"/>
  <c r="AF161" i="23"/>
  <c r="AA170" i="24"/>
  <c r="AF34" i="21"/>
  <c r="AE236" i="25"/>
  <c r="AA187" i="22"/>
  <c r="E29" i="18"/>
  <c r="D13" i="19"/>
  <c r="AA149" i="24"/>
  <c r="D300" i="22"/>
  <c r="AI372" i="26"/>
  <c r="AA41" i="25"/>
  <c r="B71" i="4"/>
  <c r="A46" i="22"/>
  <c r="I262" i="21"/>
  <c r="AF32" i="25"/>
  <c r="AJ154" i="23"/>
  <c r="AE238" i="26"/>
  <c r="AA221" i="19"/>
  <c r="H15" i="22"/>
  <c r="A85" i="4"/>
  <c r="AA188" i="24"/>
  <c r="B262" i="21"/>
  <c r="D305" i="29"/>
  <c r="AG151" i="21"/>
  <c r="AA224" i="26"/>
  <c r="E301" i="24"/>
  <c r="C14" i="20"/>
  <c r="AE206" i="24"/>
  <c r="AA35" i="23"/>
  <c r="B72" i="31"/>
  <c r="AE231" i="25"/>
  <c r="AA392" i="27"/>
  <c r="AA166" i="25"/>
  <c r="I18" i="29"/>
  <c r="AA150" i="19"/>
  <c r="AE240" i="29"/>
  <c r="AF154" i="24"/>
  <c r="AA41" i="22"/>
  <c r="AA327" i="21"/>
  <c r="AA41" i="19"/>
  <c r="A29" i="14"/>
  <c r="AE237" i="27"/>
  <c r="AE31" i="24"/>
  <c r="AD316" i="3"/>
  <c r="AA157" i="29"/>
  <c r="E299" i="27"/>
  <c r="AA440" i="23"/>
  <c r="AA227" i="25"/>
  <c r="D13" i="28"/>
  <c r="D307" i="19"/>
  <c r="C17" i="25"/>
  <c r="G54" i="4"/>
  <c r="AA227" i="19"/>
  <c r="Q307" i="26"/>
  <c r="AA326" i="28"/>
  <c r="AA323" i="27"/>
  <c r="C302" i="19"/>
  <c r="B68" i="31"/>
  <c r="AA202" i="3"/>
  <c r="AA332" i="26"/>
  <c r="AE228" i="28"/>
  <c r="D303" i="22"/>
  <c r="AE25" i="3"/>
  <c r="AE239" i="25"/>
  <c r="H1" i="29"/>
  <c r="AA331" i="28"/>
  <c r="B14" i="3"/>
  <c r="AE229" i="20"/>
  <c r="C305" i="19"/>
  <c r="AA155" i="23"/>
  <c r="D304" i="29"/>
  <c r="AE238" i="19"/>
  <c r="AA456" i="29"/>
  <c r="AA1" i="21"/>
  <c r="AA331" i="29"/>
  <c r="AE216" i="22"/>
  <c r="E17" i="22"/>
  <c r="AI27" i="28"/>
  <c r="AA219" i="19"/>
  <c r="AE221" i="3"/>
  <c r="AF34" i="23"/>
  <c r="AE43" i="22"/>
  <c r="AA312" i="23"/>
  <c r="AF314" i="20"/>
  <c r="AE207" i="23"/>
  <c r="AA393" i="26"/>
  <c r="H18" i="22"/>
  <c r="B299" i="21"/>
  <c r="AE202" i="28"/>
  <c r="AA392" i="19"/>
  <c r="AA384" i="20"/>
  <c r="F17" i="25"/>
  <c r="F16" i="25"/>
  <c r="AA320" i="27"/>
  <c r="AA443" i="27"/>
  <c r="AA37" i="21"/>
  <c r="AA170" i="20"/>
  <c r="AE33" i="28"/>
  <c r="E18" i="20"/>
  <c r="AA38" i="29"/>
  <c r="AA22" i="26"/>
  <c r="B299" i="27"/>
  <c r="AA43" i="24"/>
  <c r="AA214" i="23"/>
  <c r="AE34" i="3"/>
  <c r="I17" i="29"/>
  <c r="AA417" i="24"/>
  <c r="AF39" i="20"/>
  <c r="B10" i="31"/>
  <c r="AA152" i="19"/>
  <c r="AA230" i="24"/>
  <c r="AA199" i="24"/>
  <c r="A20" i="14"/>
  <c r="G262" i="29"/>
  <c r="A11" i="15"/>
  <c r="E15" i="21"/>
  <c r="AF37" i="27"/>
  <c r="AA214" i="25"/>
  <c r="F17" i="28"/>
  <c r="J29" i="18"/>
  <c r="H15" i="26"/>
  <c r="E17" i="27"/>
  <c r="AA456" i="25"/>
  <c r="AA34" i="19"/>
  <c r="A40" i="4"/>
  <c r="AA412" i="21"/>
  <c r="AF161" i="20"/>
  <c r="AA159" i="3"/>
  <c r="AA209" i="29"/>
  <c r="H17" i="28"/>
  <c r="AA423" i="24"/>
  <c r="A9" i="18"/>
  <c r="AA379" i="23"/>
  <c r="AA207" i="28"/>
  <c r="AE211" i="27"/>
  <c r="AA217" i="21"/>
  <c r="A26" i="15"/>
  <c r="AJ154" i="20"/>
  <c r="C13" i="21"/>
  <c r="A18" i="17"/>
  <c r="B299" i="25"/>
  <c r="E9" i="18"/>
  <c r="AE217" i="23"/>
  <c r="AE204" i="28"/>
  <c r="D15" i="26"/>
  <c r="AA236" i="28"/>
  <c r="AA165" i="21"/>
  <c r="AI151" i="19"/>
  <c r="C16" i="25"/>
  <c r="AA404" i="24"/>
  <c r="AE23" i="21"/>
  <c r="AG241" i="21"/>
  <c r="AA187" i="25"/>
  <c r="A48" i="23"/>
  <c r="AA239" i="21"/>
  <c r="B16" i="23"/>
  <c r="AA331" i="25"/>
  <c r="AA323" i="22"/>
  <c r="AE35" i="28"/>
  <c r="AA32" i="27"/>
  <c r="AE38" i="23"/>
  <c r="E303" i="22"/>
  <c r="AB375" i="24"/>
  <c r="E307" i="25"/>
  <c r="AA323" i="26"/>
  <c r="AA157" i="25"/>
  <c r="AE226" i="22"/>
  <c r="C16" i="14"/>
  <c r="AH154" i="22"/>
  <c r="AA327" i="23"/>
  <c r="AH372" i="27"/>
  <c r="B303" i="24"/>
  <c r="B12" i="29"/>
  <c r="B18" i="22"/>
  <c r="B307" i="25"/>
  <c r="B98" i="31"/>
  <c r="B88" i="31"/>
  <c r="AA171" i="23"/>
  <c r="I17" i="24"/>
  <c r="AA370" i="23"/>
  <c r="G7" i="19"/>
  <c r="A92" i="4"/>
  <c r="B100" i="31"/>
  <c r="AA314" i="29"/>
  <c r="AE314" i="25"/>
  <c r="AE230" i="28"/>
  <c r="AA188" i="25"/>
  <c r="C262" i="21"/>
  <c r="AA214" i="26"/>
  <c r="B304" i="24"/>
  <c r="AA38" i="23"/>
  <c r="B5" i="19"/>
  <c r="AA331" i="19"/>
  <c r="AA377" i="22"/>
  <c r="AE221" i="28"/>
  <c r="AG240" i="27"/>
  <c r="B15" i="23"/>
  <c r="AA404" i="29"/>
  <c r="D299" i="28"/>
  <c r="E15" i="26"/>
  <c r="AA187" i="26"/>
  <c r="AE202" i="20"/>
  <c r="AA151" i="25"/>
  <c r="H14" i="28"/>
  <c r="B13" i="23"/>
  <c r="AA383" i="26"/>
  <c r="AA152" i="25"/>
  <c r="AA41" i="21"/>
  <c r="G17" i="24"/>
  <c r="AF151" i="20"/>
  <c r="AC375" i="24"/>
  <c r="AE23" i="20"/>
  <c r="E307" i="23"/>
  <c r="AA430" i="3"/>
  <c r="AA428" i="3"/>
  <c r="AE314" i="26"/>
  <c r="AA229" i="21"/>
  <c r="AE207" i="28"/>
  <c r="AA225" i="26"/>
  <c r="AE229" i="29"/>
  <c r="AA184" i="3"/>
  <c r="AE30" i="20"/>
  <c r="G17" i="23"/>
  <c r="A12" i="17"/>
  <c r="AE247" i="26"/>
  <c r="B25" i="14"/>
  <c r="AA430" i="26"/>
  <c r="E302" i="26"/>
  <c r="AA323" i="23"/>
  <c r="AA204" i="3"/>
  <c r="AA331" i="22"/>
  <c r="A331" i="22" l="1"/>
  <c r="O204" i="3"/>
  <c r="A323" i="23"/>
  <c r="A430" i="26"/>
  <c r="E314" i="26"/>
  <c r="A428" i="3"/>
  <c r="A85" i="18" s="1"/>
  <c r="A430" i="3"/>
  <c r="A87" i="18" s="1"/>
  <c r="F151" i="20"/>
  <c r="O152" i="25"/>
  <c r="A152" i="25"/>
  <c r="A383" i="26"/>
  <c r="O151" i="25"/>
  <c r="A151" i="25"/>
  <c r="E202" i="20"/>
  <c r="A404" i="29"/>
  <c r="A377" i="22"/>
  <c r="A331" i="19"/>
  <c r="O214" i="26"/>
  <c r="E314" i="25"/>
  <c r="A314" i="29"/>
  <c r="A105" i="15"/>
  <c r="A370" i="23"/>
  <c r="A61" i="23" s="1"/>
  <c r="H372" i="27"/>
  <c r="A397" i="23"/>
  <c r="H154" i="22"/>
  <c r="A323" i="26"/>
  <c r="A323" i="22"/>
  <c r="A331" i="25"/>
  <c r="A404" i="24"/>
  <c r="I151" i="19"/>
  <c r="J154" i="20"/>
  <c r="A423" i="24"/>
  <c r="A412" i="21"/>
  <c r="A57" i="15"/>
  <c r="A456" i="25"/>
  <c r="O214" i="25"/>
  <c r="A214" i="25" s="1"/>
  <c r="O199" i="24"/>
  <c r="A199" i="24"/>
  <c r="A152" i="19"/>
  <c r="O152" i="19"/>
  <c r="A417" i="24"/>
  <c r="O214" i="23"/>
  <c r="A22" i="26"/>
  <c r="A443" i="27"/>
  <c r="A320" i="27"/>
  <c r="A384" i="20"/>
  <c r="A392" i="19"/>
  <c r="E202" i="28"/>
  <c r="A393" i="26"/>
  <c r="F314" i="20"/>
  <c r="A312" i="23"/>
  <c r="A331" i="29"/>
  <c r="A1" i="21"/>
  <c r="A456" i="29"/>
  <c r="A155" i="23"/>
  <c r="O155" i="23"/>
  <c r="A331" i="28"/>
  <c r="A202" i="3"/>
  <c r="A323" i="27"/>
  <c r="A326" i="28"/>
  <c r="A395" i="28" s="1"/>
  <c r="D54" i="4"/>
  <c r="A440" i="23"/>
  <c r="A397" i="21"/>
  <c r="F154" i="24"/>
  <c r="O150" i="19"/>
  <c r="A392" i="27"/>
  <c r="G151" i="21"/>
  <c r="A100" i="15"/>
  <c r="J154" i="23"/>
  <c r="C61" i="31"/>
  <c r="I372" i="26"/>
  <c r="J372" i="26" s="1"/>
  <c r="O149" i="24"/>
  <c r="A149" i="24"/>
  <c r="A440" i="22"/>
  <c r="J154" i="25"/>
  <c r="A406" i="26"/>
  <c r="O152" i="23"/>
  <c r="A152" i="23"/>
  <c r="A408" i="26"/>
  <c r="A415" i="22"/>
  <c r="C95" i="31"/>
  <c r="A318" i="23"/>
  <c r="A402" i="21"/>
  <c r="A428" i="25"/>
  <c r="A244" i="22"/>
  <c r="O244" i="22"/>
  <c r="A408" i="3"/>
  <c r="A65" i="18" s="1"/>
  <c r="E87" i="31"/>
  <c r="O152" i="28"/>
  <c r="A152" i="28"/>
  <c r="A407" i="19"/>
  <c r="A419" i="22"/>
  <c r="O247" i="29"/>
  <c r="A433" i="22"/>
  <c r="A370" i="22"/>
  <c r="A61" i="22" s="1"/>
  <c r="G359" i="21"/>
  <c r="G50" i="21" s="1"/>
  <c r="I309" i="22"/>
  <c r="A22" i="25"/>
  <c r="C71" i="31"/>
  <c r="I199" i="19"/>
  <c r="A109" i="15"/>
  <c r="A410" i="21"/>
  <c r="P302" i="23"/>
  <c r="G302" i="23" s="1"/>
  <c r="I20" i="28"/>
  <c r="A122" i="15"/>
  <c r="O203" i="28"/>
  <c r="A390" i="23"/>
  <c r="A319" i="22"/>
  <c r="A382" i="3"/>
  <c r="A39" i="18" s="1"/>
  <c r="A414" i="19"/>
  <c r="A20" i="25"/>
  <c r="F151" i="27"/>
  <c r="O150" i="29"/>
  <c r="A372" i="23"/>
  <c r="A313" i="25"/>
  <c r="A392" i="28"/>
  <c r="P302" i="25"/>
  <c r="G302" i="25" s="1"/>
  <c r="A421" i="20"/>
  <c r="A407" i="29"/>
  <c r="A397" i="3"/>
  <c r="A54" i="18" s="1"/>
  <c r="A329" i="3"/>
  <c r="G154" i="28"/>
  <c r="O150" i="21"/>
  <c r="A437" i="21"/>
  <c r="A430" i="21"/>
  <c r="A55" i="15"/>
  <c r="O211" i="21"/>
  <c r="A371" i="3"/>
  <c r="A62" i="3" s="1"/>
  <c r="A397" i="29"/>
  <c r="A423" i="25"/>
  <c r="A313" i="22"/>
  <c r="A371" i="26"/>
  <c r="A62" i="26" s="1"/>
  <c r="A410" i="20"/>
  <c r="A404" i="19"/>
  <c r="D314" i="24"/>
  <c r="A309" i="21"/>
  <c r="A49" i="15"/>
  <c r="I372" i="24"/>
  <c r="J372" i="24" s="1"/>
  <c r="A397" i="27"/>
  <c r="I372" i="19"/>
  <c r="J372" i="19" s="1"/>
  <c r="A393" i="20"/>
  <c r="A380" i="22"/>
  <c r="A152" i="3"/>
  <c r="O152" i="3"/>
  <c r="I372" i="21"/>
  <c r="J372" i="21" s="1"/>
  <c r="O151" i="27"/>
  <c r="A151" i="27"/>
  <c r="G372" i="25"/>
  <c r="F154" i="28"/>
  <c r="A385" i="23"/>
  <c r="F151" i="21"/>
  <c r="O245" i="26"/>
  <c r="A245" i="26"/>
  <c r="A96" i="15"/>
  <c r="C62" i="31"/>
  <c r="A320" i="21"/>
  <c r="O152" i="27"/>
  <c r="A152" i="27"/>
  <c r="A372" i="28"/>
  <c r="O214" i="28"/>
  <c r="C108" i="31"/>
  <c r="A383" i="21"/>
  <c r="A408" i="23"/>
  <c r="O201" i="22"/>
  <c r="A201" i="22"/>
  <c r="A457" i="23"/>
  <c r="O203" i="25"/>
  <c r="A203" i="25" s="1"/>
  <c r="A399" i="24"/>
  <c r="A146" i="28"/>
  <c r="O146" i="28"/>
  <c r="O203" i="27"/>
  <c r="O211" i="26"/>
  <c r="A451" i="27"/>
  <c r="I199" i="23"/>
  <c r="A415" i="21"/>
  <c r="I244" i="24"/>
  <c r="A377" i="19"/>
  <c r="A312" i="21"/>
  <c r="A371" i="25"/>
  <c r="A62" i="25" s="1"/>
  <c r="A447" i="22"/>
  <c r="A406" i="19"/>
  <c r="A200" i="29"/>
  <c r="O200" i="29"/>
  <c r="A319" i="20"/>
  <c r="A202" i="24"/>
  <c r="A421" i="21"/>
  <c r="I20" i="25"/>
  <c r="A428" i="23"/>
  <c r="A320" i="20"/>
  <c r="A314" i="20"/>
  <c r="A1" i="19"/>
  <c r="O213" i="22"/>
  <c r="A213" i="22"/>
  <c r="A376" i="3"/>
  <c r="A33" i="18" s="1"/>
  <c r="O246" i="27"/>
  <c r="A151" i="20"/>
  <c r="O151" i="20"/>
  <c r="A372" i="3"/>
  <c r="P302" i="27"/>
  <c r="G302" i="27" s="1"/>
  <c r="O247" i="27"/>
  <c r="A430" i="20"/>
  <c r="A404" i="3"/>
  <c r="A61" i="18" s="1"/>
  <c r="C85" i="31"/>
  <c r="A374" i="3"/>
  <c r="A31" i="18" s="1"/>
  <c r="A123" i="15"/>
  <c r="A438" i="19"/>
  <c r="A382" i="26"/>
  <c r="A20" i="21"/>
  <c r="D314" i="28"/>
  <c r="A371" i="28"/>
  <c r="A62" i="28" s="1"/>
  <c r="A149" i="22"/>
  <c r="O149" i="22"/>
  <c r="A428" i="19"/>
  <c r="O150" i="27"/>
  <c r="A20" i="23"/>
  <c r="A213" i="29"/>
  <c r="O213" i="29"/>
  <c r="A414" i="20"/>
  <c r="C94" i="31"/>
  <c r="A412" i="25"/>
  <c r="A1" i="20"/>
  <c r="O150" i="23"/>
  <c r="A333" i="24"/>
  <c r="A423" i="23"/>
  <c r="A97" i="15"/>
  <c r="A370" i="21"/>
  <c r="A61" i="21" s="1"/>
  <c r="O246" i="22"/>
  <c r="O247" i="28"/>
  <c r="E247" i="28" s="1"/>
  <c r="A430" i="24"/>
  <c r="A409" i="21"/>
  <c r="A423" i="29"/>
  <c r="A437" i="24"/>
  <c r="A399" i="19"/>
  <c r="A374" i="20"/>
  <c r="A433" i="27"/>
  <c r="A390" i="25"/>
  <c r="A432" i="20"/>
  <c r="A438" i="22"/>
  <c r="A397" i="25"/>
  <c r="A311" i="26"/>
  <c r="A22" i="3"/>
  <c r="A440" i="24"/>
  <c r="A372" i="20"/>
  <c r="A202" i="28"/>
  <c r="I372" i="25"/>
  <c r="J372" i="25" s="1"/>
  <c r="A457" i="28"/>
  <c r="A457" i="25"/>
  <c r="A407" i="27"/>
  <c r="A417" i="3"/>
  <c r="A74" i="18" s="1"/>
  <c r="A438" i="29"/>
  <c r="A1" i="24"/>
  <c r="O214" i="27"/>
  <c r="E214" i="27" s="1"/>
  <c r="A404" i="25"/>
  <c r="E151" i="21"/>
  <c r="A372" i="25"/>
  <c r="A385" i="21"/>
  <c r="I20" i="29"/>
  <c r="A415" i="20"/>
  <c r="A371" i="20"/>
  <c r="A62" i="20" s="1"/>
  <c r="A323" i="3"/>
  <c r="A245" i="19"/>
  <c r="O245" i="19"/>
  <c r="A331" i="20"/>
  <c r="A44" i="15"/>
  <c r="O200" i="25"/>
  <c r="A200" i="25"/>
  <c r="A399" i="3"/>
  <c r="A56" i="18" s="1"/>
  <c r="A417" i="28"/>
  <c r="F314" i="28"/>
  <c r="A417" i="20"/>
  <c r="I199" i="25"/>
  <c r="A372" i="22"/>
  <c r="A410" i="22"/>
  <c r="E151" i="28"/>
  <c r="A421" i="3"/>
  <c r="A78" i="18" s="1"/>
  <c r="A438" i="3"/>
  <c r="A95" i="18" s="1"/>
  <c r="A444" i="3"/>
  <c r="A101" i="18" s="1"/>
  <c r="H372" i="19"/>
  <c r="A414" i="28"/>
  <c r="A409" i="27"/>
  <c r="A320" i="24"/>
  <c r="O155" i="22"/>
  <c r="A155" i="22"/>
  <c r="C85" i="15"/>
  <c r="D60" i="31"/>
  <c r="A329" i="25"/>
  <c r="A380" i="28"/>
  <c r="A456" i="19"/>
  <c r="A69" i="15"/>
  <c r="A440" i="27"/>
  <c r="A319" i="26"/>
  <c r="A393" i="22"/>
  <c r="A329" i="27"/>
  <c r="A412" i="29"/>
  <c r="A102" i="15"/>
  <c r="F154" i="29"/>
  <c r="D314" i="22"/>
  <c r="D84" i="4"/>
  <c r="A377" i="25"/>
  <c r="A375" i="19"/>
  <c r="H151" i="19"/>
  <c r="E202" i="27"/>
  <c r="A382" i="25"/>
  <c r="E151" i="19"/>
  <c r="A432" i="3"/>
  <c r="A89" i="18" s="1"/>
  <c r="A376" i="23"/>
  <c r="A409" i="24"/>
  <c r="A408" i="20"/>
  <c r="A88" i="15"/>
  <c r="A390" i="19"/>
  <c r="A331" i="21"/>
  <c r="G372" i="23"/>
  <c r="H63" i="23" s="1"/>
  <c r="O151" i="28"/>
  <c r="A151" i="28"/>
  <c r="A415" i="19"/>
  <c r="A387" i="23"/>
  <c r="A383" i="25"/>
  <c r="O149" i="20"/>
  <c r="A149" i="20"/>
  <c r="A399" i="20"/>
  <c r="A399" i="27"/>
  <c r="A323" i="24"/>
  <c r="A320" i="26"/>
  <c r="A1" i="23"/>
  <c r="A447" i="26"/>
  <c r="A202" i="26"/>
  <c r="E151" i="20"/>
  <c r="A43" i="15"/>
  <c r="O247" i="21"/>
  <c r="A407" i="26"/>
  <c r="A402" i="22"/>
  <c r="F151" i="28"/>
  <c r="C41" i="31"/>
  <c r="O199" i="3"/>
  <c r="A199" i="3"/>
  <c r="A39" i="15"/>
  <c r="O200" i="20"/>
  <c r="A200" i="20"/>
  <c r="I309" i="19"/>
  <c r="A318" i="21"/>
  <c r="O246" i="25"/>
  <c r="A425" i="27"/>
  <c r="A318" i="29"/>
  <c r="O148" i="28"/>
  <c r="A148" i="28"/>
  <c r="O204" i="25"/>
  <c r="A317" i="26"/>
  <c r="A433" i="3"/>
  <c r="A90" i="18" s="1"/>
  <c r="F314" i="26"/>
  <c r="O203" i="19"/>
  <c r="A380" i="21"/>
  <c r="C72" i="31"/>
  <c r="A152" i="22"/>
  <c r="O152" i="22"/>
  <c r="A380" i="23"/>
  <c r="H372" i="29"/>
  <c r="I63" i="29" s="1"/>
  <c r="A1" i="25"/>
  <c r="A213" i="21"/>
  <c r="O213" i="21"/>
  <c r="A436" i="22"/>
  <c r="A244" i="25"/>
  <c r="O244" i="25"/>
  <c r="A436" i="21"/>
  <c r="O151" i="21"/>
  <c r="A151" i="21"/>
  <c r="A374" i="22"/>
  <c r="A320" i="25"/>
  <c r="A383" i="22"/>
  <c r="A202" i="19"/>
  <c r="A320" i="23"/>
  <c r="C68" i="31"/>
  <c r="E314" i="23"/>
  <c r="O211" i="24"/>
  <c r="A392" i="29"/>
  <c r="A428" i="22"/>
  <c r="G154" i="3"/>
  <c r="A333" i="23"/>
  <c r="I20" i="22"/>
  <c r="A428" i="21"/>
  <c r="A244" i="28"/>
  <c r="O244" i="28"/>
  <c r="A148" i="23"/>
  <c r="O148" i="23"/>
  <c r="A373" i="27"/>
  <c r="A245" i="24"/>
  <c r="O245" i="24"/>
  <c r="A397" i="28"/>
  <c r="O244" i="26"/>
  <c r="A244" i="26"/>
  <c r="A317" i="22"/>
  <c r="A457" i="29"/>
  <c r="A443" i="23"/>
  <c r="A392" i="20"/>
  <c r="A373" i="25"/>
  <c r="A311" i="28"/>
  <c r="F154" i="26"/>
  <c r="A406" i="21"/>
  <c r="H372" i="23"/>
  <c r="J151" i="25"/>
  <c r="A370" i="26"/>
  <c r="A61" i="26" s="1"/>
  <c r="A155" i="28"/>
  <c r="O155" i="28"/>
  <c r="A425" i="23"/>
  <c r="A436" i="3"/>
  <c r="A93" i="18" s="1"/>
  <c r="O201" i="19"/>
  <c r="A201" i="19"/>
  <c r="A430" i="22"/>
  <c r="A149" i="23"/>
  <c r="O149" i="23"/>
  <c r="A430" i="29"/>
  <c r="A440" i="29"/>
  <c r="A417" i="25"/>
  <c r="O203" i="26"/>
  <c r="A447" i="3"/>
  <c r="A104" i="18" s="1"/>
  <c r="O247" i="22"/>
  <c r="A319" i="29"/>
  <c r="A318" i="19"/>
  <c r="A326" i="24"/>
  <c r="A395" i="24" s="1"/>
  <c r="C65" i="31"/>
  <c r="A22" i="28"/>
  <c r="G314" i="22"/>
  <c r="A415" i="29"/>
  <c r="I199" i="20"/>
  <c r="A313" i="29"/>
  <c r="A75" i="15"/>
  <c r="A375" i="25"/>
  <c r="A312" i="22"/>
  <c r="H151" i="24"/>
  <c r="A317" i="19"/>
  <c r="G314" i="24"/>
  <c r="A410" i="25"/>
  <c r="O214" i="22"/>
  <c r="H154" i="25"/>
  <c r="I151" i="21"/>
  <c r="G151" i="29"/>
  <c r="H372" i="28"/>
  <c r="I63" i="28" s="1"/>
  <c r="I372" i="23"/>
  <c r="J372" i="23" s="1"/>
  <c r="A406" i="28"/>
  <c r="A22" i="23"/>
  <c r="O215" i="29"/>
  <c r="A215" i="29" s="1"/>
  <c r="A331" i="23"/>
  <c r="E202" i="24"/>
  <c r="A309" i="29"/>
  <c r="A438" i="24"/>
  <c r="I154" i="3"/>
  <c r="A120" i="15"/>
  <c r="E314" i="3"/>
  <c r="A410" i="26"/>
  <c r="A397" i="24"/>
  <c r="A199" i="23"/>
  <c r="O199" i="23"/>
  <c r="I309" i="26"/>
  <c r="F314" i="22"/>
  <c r="E314" i="24"/>
  <c r="A404" i="23"/>
  <c r="A382" i="29"/>
  <c r="A371" i="24"/>
  <c r="A62" i="24" s="1"/>
  <c r="A414" i="25"/>
  <c r="A333" i="26"/>
  <c r="O155" i="3"/>
  <c r="A155" i="3"/>
  <c r="A404" i="22"/>
  <c r="A382" i="20"/>
  <c r="E314" i="19"/>
  <c r="A384" i="22"/>
  <c r="A393" i="23"/>
  <c r="A323" i="19"/>
  <c r="F314" i="3"/>
  <c r="A119" i="15"/>
  <c r="A200" i="28"/>
  <c r="O200" i="28"/>
  <c r="O155" i="29"/>
  <c r="A155" i="29"/>
  <c r="A451" i="20"/>
  <c r="A318" i="27"/>
  <c r="C97" i="31"/>
  <c r="A68" i="15"/>
  <c r="O200" i="21"/>
  <c r="A200" i="21"/>
  <c r="I151" i="25"/>
  <c r="O214" i="20"/>
  <c r="A414" i="22"/>
  <c r="A380" i="19"/>
  <c r="O199" i="29"/>
  <c r="A199" i="29"/>
  <c r="F314" i="23"/>
  <c r="A375" i="24"/>
  <c r="A199" i="19"/>
  <c r="O199" i="19"/>
  <c r="F314" i="25"/>
  <c r="G314" i="21"/>
  <c r="O200" i="26"/>
  <c r="A200" i="26"/>
  <c r="A375" i="22"/>
  <c r="A433" i="19"/>
  <c r="J151" i="28"/>
  <c r="H151" i="3"/>
  <c r="A118" i="15"/>
  <c r="A390" i="24"/>
  <c r="E202" i="19"/>
  <c r="F151" i="3"/>
  <c r="H154" i="23"/>
  <c r="I151" i="26"/>
  <c r="A317" i="28"/>
  <c r="A373" i="22"/>
  <c r="A404" i="26"/>
  <c r="O203" i="23"/>
  <c r="A411" i="26"/>
  <c r="A447" i="25"/>
  <c r="A245" i="25"/>
  <c r="O245" i="25"/>
  <c r="A444" i="25"/>
  <c r="A149" i="28"/>
  <c r="O149" i="28"/>
  <c r="I199" i="29"/>
  <c r="I244" i="20"/>
  <c r="G151" i="26"/>
  <c r="A83" i="15"/>
  <c r="A333" i="22"/>
  <c r="A436" i="27"/>
  <c r="C80" i="31"/>
  <c r="A374" i="23"/>
  <c r="A317" i="29"/>
  <c r="A333" i="25"/>
  <c r="A399" i="29"/>
  <c r="A329" i="29"/>
  <c r="A432" i="22"/>
  <c r="O199" i="22"/>
  <c r="A199" i="22"/>
  <c r="I244" i="25"/>
  <c r="O245" i="29"/>
  <c r="A245" i="29"/>
  <c r="E314" i="21"/>
  <c r="A423" i="20"/>
  <c r="O246" i="28"/>
  <c r="A421" i="19"/>
  <c r="A376" i="20"/>
  <c r="A421" i="26"/>
  <c r="A407" i="21"/>
  <c r="A61" i="4"/>
  <c r="A76" i="15" s="1"/>
  <c r="A202" i="27"/>
  <c r="A447" i="23"/>
  <c r="O201" i="23"/>
  <c r="A201" i="23"/>
  <c r="A412" i="28"/>
  <c r="A397" i="19"/>
  <c r="A383" i="3"/>
  <c r="A40" i="18" s="1"/>
  <c r="G151" i="27"/>
  <c r="A392" i="26"/>
  <c r="F154" i="23"/>
  <c r="O215" i="24"/>
  <c r="A48" i="15"/>
  <c r="G314" i="27"/>
  <c r="C69" i="31"/>
  <c r="A309" i="19"/>
  <c r="O213" i="3"/>
  <c r="A213" i="3"/>
  <c r="C84" i="31"/>
  <c r="A387" i="20"/>
  <c r="F151" i="24"/>
  <c r="P302" i="3"/>
  <c r="G302" i="3" s="1"/>
  <c r="G314" i="26"/>
  <c r="O215" i="23"/>
  <c r="O247" i="20"/>
  <c r="A393" i="25"/>
  <c r="A406" i="27"/>
  <c r="A457" i="24"/>
  <c r="A399" i="23"/>
  <c r="A333" i="19"/>
  <c r="O211" i="20"/>
  <c r="A40" i="15"/>
  <c r="A333" i="20"/>
  <c r="A82" i="15"/>
  <c r="A22" i="24"/>
  <c r="A377" i="26"/>
  <c r="O213" i="24"/>
  <c r="A213" i="24"/>
  <c r="A411" i="19"/>
  <c r="A437" i="25"/>
  <c r="A312" i="28"/>
  <c r="O211" i="3"/>
  <c r="A392" i="23"/>
  <c r="A457" i="26"/>
  <c r="I154" i="19"/>
  <c r="D8" i="31"/>
  <c r="A410" i="19"/>
  <c r="A373" i="19"/>
  <c r="A412" i="23"/>
  <c r="G359" i="26"/>
  <c r="G50" i="26" s="1"/>
  <c r="A433" i="29"/>
  <c r="I20" i="21"/>
  <c r="I199" i="26"/>
  <c r="O149" i="27"/>
  <c r="A149" i="27"/>
  <c r="O246" i="24"/>
  <c r="A456" i="26"/>
  <c r="A372" i="27"/>
  <c r="A415" i="25"/>
  <c r="A407" i="25"/>
  <c r="O204" i="28"/>
  <c r="E202" i="23"/>
  <c r="A402" i="20"/>
  <c r="A451" i="25"/>
  <c r="B316" i="3"/>
  <c r="A432" i="25"/>
  <c r="A438" i="25"/>
  <c r="A326" i="21"/>
  <c r="A395" i="21" s="1"/>
  <c r="O215" i="25"/>
  <c r="A411" i="27"/>
  <c r="A419" i="24"/>
  <c r="H372" i="20"/>
  <c r="A91" i="15"/>
  <c r="A312" i="25"/>
  <c r="A60" i="15"/>
  <c r="A423" i="26"/>
  <c r="A447" i="19"/>
  <c r="A313" i="28"/>
  <c r="A408" i="27"/>
  <c r="A380" i="3"/>
  <c r="A37" i="18" s="1"/>
  <c r="A373" i="20"/>
  <c r="A380" i="29"/>
  <c r="O244" i="23"/>
  <c r="A244" i="23"/>
  <c r="O150" i="3"/>
  <c r="A433" i="20"/>
  <c r="A317" i="24"/>
  <c r="A331" i="3"/>
  <c r="C20" i="31"/>
  <c r="E105" i="31"/>
  <c r="A319" i="25"/>
  <c r="A443" i="22"/>
  <c r="A451" i="3"/>
  <c r="O151" i="24"/>
  <c r="A151" i="24"/>
  <c r="A323" i="25"/>
  <c r="G154" i="23"/>
  <c r="O215" i="19"/>
  <c r="A444" i="24"/>
  <c r="A117" i="15"/>
  <c r="O150" i="22"/>
  <c r="A313" i="26"/>
  <c r="I154" i="26"/>
  <c r="A200" i="24"/>
  <c r="O200" i="24"/>
  <c r="A417" i="21"/>
  <c r="A92" i="15"/>
  <c r="A326" i="22"/>
  <c r="A395" i="22" s="1"/>
  <c r="A326" i="27"/>
  <c r="A395" i="27" s="1"/>
  <c r="A451" i="26"/>
  <c r="A414" i="3"/>
  <c r="A71" i="18" s="1"/>
  <c r="O150" i="25"/>
  <c r="I151" i="28"/>
  <c r="G154" i="19"/>
  <c r="A425" i="22"/>
  <c r="A149" i="21"/>
  <c r="O149" i="21"/>
  <c r="A323" i="28"/>
  <c r="A425" i="25"/>
  <c r="I309" i="24"/>
  <c r="A244" i="21"/>
  <c r="O244" i="21"/>
  <c r="D314" i="3"/>
  <c r="A414" i="27"/>
  <c r="A411" i="20"/>
  <c r="A406" i="23"/>
  <c r="A314" i="19"/>
  <c r="A447" i="28"/>
  <c r="A443" i="25"/>
  <c r="A54" i="15"/>
  <c r="A311" i="20"/>
  <c r="A409" i="29"/>
  <c r="A375" i="21"/>
  <c r="A438" i="28"/>
  <c r="O245" i="28"/>
  <c r="A245" i="28"/>
  <c r="O204" i="23"/>
  <c r="E204" i="23" s="1"/>
  <c r="A374" i="25"/>
  <c r="E202" i="29"/>
  <c r="A382" i="19"/>
  <c r="I309" i="20"/>
  <c r="I20" i="23"/>
  <c r="A421" i="24"/>
  <c r="A313" i="19"/>
  <c r="A437" i="28"/>
  <c r="I20" i="24"/>
  <c r="A421" i="22"/>
  <c r="A89" i="15"/>
  <c r="O150" i="26"/>
  <c r="A378" i="22"/>
  <c r="A384" i="24"/>
  <c r="A380" i="27"/>
  <c r="I154" i="28"/>
  <c r="A432" i="24"/>
  <c r="A329" i="23"/>
  <c r="A444" i="26"/>
  <c r="A148" i="20"/>
  <c r="O148" i="20"/>
  <c r="G154" i="20"/>
  <c r="I244" i="19"/>
  <c r="G359" i="3"/>
  <c r="G50" i="3" s="1"/>
  <c r="A443" i="28"/>
  <c r="D314" i="20"/>
  <c r="I309" i="28"/>
  <c r="O214" i="21"/>
  <c r="A326" i="26"/>
  <c r="A395" i="26" s="1"/>
  <c r="I151" i="22"/>
  <c r="E314" i="22"/>
  <c r="A201" i="26"/>
  <c r="O201" i="26"/>
  <c r="A433" i="28"/>
  <c r="D314" i="25"/>
  <c r="A412" i="19"/>
  <c r="H154" i="28"/>
  <c r="A407" i="20"/>
  <c r="A314" i="28"/>
  <c r="G151" i="23"/>
  <c r="A415" i="28"/>
  <c r="A377" i="3"/>
  <c r="A34" i="18" s="1"/>
  <c r="A414" i="24"/>
  <c r="G372" i="26"/>
  <c r="A383" i="23"/>
  <c r="O149" i="26"/>
  <c r="A149" i="26"/>
  <c r="A444" i="28"/>
  <c r="E314" i="27"/>
  <c r="J154" i="21"/>
  <c r="A312" i="3"/>
  <c r="A447" i="27"/>
  <c r="A437" i="23"/>
  <c r="H372" i="26"/>
  <c r="I63" i="26" s="1"/>
  <c r="D314" i="23"/>
  <c r="I154" i="21"/>
  <c r="A213" i="28"/>
  <c r="O213" i="28"/>
  <c r="A148" i="27"/>
  <c r="O148" i="27"/>
  <c r="A373" i="26"/>
  <c r="A397" i="22"/>
  <c r="E20" i="31"/>
  <c r="A377" i="29"/>
  <c r="I151" i="20"/>
  <c r="A323" i="29"/>
  <c r="A151" i="29"/>
  <c r="O151" i="29"/>
  <c r="E314" i="20"/>
  <c r="A312" i="27"/>
  <c r="A199" i="27"/>
  <c r="O199" i="27"/>
  <c r="A1" i="29"/>
  <c r="A399" i="28"/>
  <c r="A411" i="24"/>
  <c r="I244" i="29"/>
  <c r="A373" i="29"/>
  <c r="O146" i="29"/>
  <c r="A146" i="29"/>
  <c r="A437" i="3"/>
  <c r="A94" i="18" s="1"/>
  <c r="O204" i="24"/>
  <c r="I199" i="28"/>
  <c r="H154" i="20"/>
  <c r="P302" i="21"/>
  <c r="G302" i="21" s="1"/>
  <c r="G359" i="23"/>
  <c r="G50" i="23" s="1"/>
  <c r="A66" i="15"/>
  <c r="A406" i="20"/>
  <c r="A380" i="20"/>
  <c r="A20" i="27"/>
  <c r="P302" i="19"/>
  <c r="G302" i="19" s="1"/>
  <c r="A99" i="15"/>
  <c r="A244" i="27"/>
  <c r="O244" i="27"/>
  <c r="A440" i="20"/>
  <c r="A382" i="28"/>
  <c r="O150" i="28"/>
  <c r="A385" i="29"/>
  <c r="A22" i="22"/>
  <c r="A370" i="19"/>
  <c r="A61" i="19" s="1"/>
  <c r="O146" i="20"/>
  <c r="A146" i="20"/>
  <c r="A451" i="19"/>
  <c r="A408" i="28"/>
  <c r="P302" i="29"/>
  <c r="G302" i="29" s="1"/>
  <c r="I199" i="24"/>
  <c r="A152" i="20"/>
  <c r="O152" i="20"/>
  <c r="J154" i="22"/>
  <c r="A311" i="27"/>
  <c r="A414" i="21"/>
  <c r="A87" i="15"/>
  <c r="O215" i="3"/>
  <c r="A37" i="15"/>
  <c r="A213" i="27"/>
  <c r="O213" i="27"/>
  <c r="A111" i="15"/>
  <c r="A201" i="3"/>
  <c r="O201" i="3"/>
  <c r="A70" i="15"/>
  <c r="A329" i="28"/>
  <c r="A456" i="21"/>
  <c r="A201" i="20"/>
  <c r="O201" i="20"/>
  <c r="A20" i="26"/>
  <c r="A408" i="29"/>
  <c r="A404" i="21"/>
  <c r="C54" i="31"/>
  <c r="A149" i="25"/>
  <c r="O149" i="25"/>
  <c r="I20" i="27"/>
  <c r="H154" i="29"/>
  <c r="A382" i="22"/>
  <c r="O215" i="26"/>
  <c r="A318" i="22"/>
  <c r="A443" i="20"/>
  <c r="A313" i="23"/>
  <c r="A20" i="28"/>
  <c r="A309" i="26"/>
  <c r="A378" i="24"/>
  <c r="I20" i="19"/>
  <c r="O146" i="3"/>
  <c r="A146" i="3"/>
  <c r="I309" i="27"/>
  <c r="A432" i="27"/>
  <c r="A417" i="22"/>
  <c r="H151" i="29"/>
  <c r="A376" i="19"/>
  <c r="A387" i="21"/>
  <c r="C57" i="31"/>
  <c r="O151" i="19"/>
  <c r="A151" i="19"/>
  <c r="A443" i="3"/>
  <c r="A100" i="18" s="1"/>
  <c r="I372" i="29"/>
  <c r="J372" i="29" s="1"/>
  <c r="A380" i="26"/>
  <c r="A373" i="23"/>
  <c r="O215" i="21"/>
  <c r="I151" i="23"/>
  <c r="A309" i="23"/>
  <c r="A318" i="26"/>
  <c r="C66" i="31"/>
  <c r="D314" i="29"/>
  <c r="A406" i="25"/>
  <c r="A409" i="22"/>
  <c r="A201" i="29"/>
  <c r="O201" i="29"/>
  <c r="A90" i="15"/>
  <c r="A417" i="29"/>
  <c r="A374" i="26"/>
  <c r="O201" i="28"/>
  <c r="A201" i="28"/>
  <c r="H151" i="23"/>
  <c r="D314" i="19"/>
  <c r="A376" i="28"/>
  <c r="A438" i="27"/>
  <c r="G359" i="25"/>
  <c r="G50" i="25" s="1"/>
  <c r="A390" i="3"/>
  <c r="A47" i="18" s="1"/>
  <c r="A374" i="24"/>
  <c r="A317" i="25"/>
  <c r="G151" i="24"/>
  <c r="G151" i="22"/>
  <c r="A155" i="26"/>
  <c r="O155" i="26"/>
  <c r="A410" i="3"/>
  <c r="A67" i="18" s="1"/>
  <c r="H151" i="20"/>
  <c r="O199" i="21"/>
  <c r="A199" i="21"/>
  <c r="A399" i="21"/>
  <c r="A430" i="19"/>
  <c r="A50" i="15"/>
  <c r="A411" i="22"/>
  <c r="A387" i="19"/>
  <c r="H372" i="24"/>
  <c r="I63" i="24" s="1"/>
  <c r="A411" i="3"/>
  <c r="A68" i="18" s="1"/>
  <c r="A20" i="22"/>
  <c r="G372" i="21"/>
  <c r="O246" i="23"/>
  <c r="A246" i="23" s="1"/>
  <c r="A317" i="20"/>
  <c r="A202" i="20"/>
  <c r="A311" i="29"/>
  <c r="A444" i="21"/>
  <c r="A423" i="19"/>
  <c r="F314" i="21"/>
  <c r="O214" i="29"/>
  <c r="A433" i="26"/>
  <c r="I199" i="3"/>
  <c r="A443" i="24"/>
  <c r="A443" i="29"/>
  <c r="O148" i="29"/>
  <c r="A148" i="29"/>
  <c r="A390" i="27"/>
  <c r="A409" i="20"/>
  <c r="E151" i="29"/>
  <c r="G151" i="25"/>
  <c r="J154" i="3"/>
  <c r="D85" i="4"/>
  <c r="E202" i="3"/>
  <c r="A438" i="23"/>
  <c r="G154" i="21"/>
  <c r="A244" i="24"/>
  <c r="O244" i="24"/>
  <c r="A432" i="23"/>
  <c r="A202" i="21"/>
  <c r="A377" i="23"/>
  <c r="I372" i="3"/>
  <c r="J372" i="3" s="1"/>
  <c r="A319" i="23"/>
  <c r="F154" i="3"/>
  <c r="O155" i="24"/>
  <c r="A155" i="24"/>
  <c r="A326" i="20"/>
  <c r="A395" i="20" s="1"/>
  <c r="C36" i="31"/>
  <c r="A432" i="28"/>
  <c r="A432" i="19"/>
  <c r="J151" i="23"/>
  <c r="A374" i="27"/>
  <c r="A311" i="24"/>
  <c r="A408" i="24"/>
  <c r="O146" i="26"/>
  <c r="A146" i="26"/>
  <c r="J154" i="26"/>
  <c r="A443" i="19"/>
  <c r="O150" i="24"/>
  <c r="A436" i="26"/>
  <c r="A423" i="3"/>
  <c r="A80" i="18" s="1"/>
  <c r="E8" i="31"/>
  <c r="A311" i="22"/>
  <c r="A318" i="25"/>
  <c r="C8" i="31"/>
  <c r="A402" i="3"/>
  <c r="A59" i="18" s="1"/>
  <c r="H151" i="28"/>
  <c r="G372" i="3"/>
  <c r="A314" i="27"/>
  <c r="A437" i="26"/>
  <c r="A52" i="15"/>
  <c r="A385" i="25"/>
  <c r="O246" i="20"/>
  <c r="A387" i="25"/>
  <c r="A152" i="29"/>
  <c r="O152" i="29"/>
  <c r="I372" i="27"/>
  <c r="J372" i="27" s="1"/>
  <c r="A311" i="3"/>
  <c r="A451" i="24"/>
  <c r="I372" i="28"/>
  <c r="J372" i="28" s="1"/>
  <c r="O211" i="27"/>
  <c r="A436" i="23"/>
  <c r="A20" i="3"/>
  <c r="I372" i="22"/>
  <c r="J372" i="22" s="1"/>
  <c r="A425" i="28"/>
  <c r="A440" i="3"/>
  <c r="A97" i="18" s="1"/>
  <c r="A447" i="20"/>
  <c r="A377" i="27"/>
  <c r="A380" i="24"/>
  <c r="O211" i="29"/>
  <c r="A211" i="29" s="1"/>
  <c r="I20" i="20"/>
  <c r="A383" i="28"/>
  <c r="A320" i="19"/>
  <c r="J154" i="19"/>
  <c r="A410" i="28"/>
  <c r="A22" i="20"/>
  <c r="A375" i="27"/>
  <c r="A425" i="24"/>
  <c r="A51" i="15"/>
  <c r="E151" i="24"/>
  <c r="O200" i="19"/>
  <c r="A200" i="19"/>
  <c r="I244" i="23"/>
  <c r="O244" i="19"/>
  <c r="A244" i="19"/>
  <c r="A146" i="25"/>
  <c r="O146" i="25"/>
  <c r="A425" i="26"/>
  <c r="A309" i="27"/>
  <c r="I154" i="20"/>
  <c r="A440" i="26"/>
  <c r="A425" i="21"/>
  <c r="G314" i="28"/>
  <c r="G359" i="22"/>
  <c r="G50" i="22" s="1"/>
  <c r="O155" i="20"/>
  <c r="A155" i="20"/>
  <c r="A378" i="21"/>
  <c r="A457" i="20"/>
  <c r="A456" i="20"/>
  <c r="A107" i="15"/>
  <c r="A456" i="24"/>
  <c r="A319" i="3"/>
  <c r="A440" i="19"/>
  <c r="A320" i="28"/>
  <c r="A390" i="29"/>
  <c r="A419" i="3"/>
  <c r="A76" i="18" s="1"/>
  <c r="A428" i="20"/>
  <c r="A323" i="21"/>
  <c r="A451" i="22"/>
  <c r="A371" i="23"/>
  <c r="A62" i="23" s="1"/>
  <c r="A390" i="21"/>
  <c r="I199" i="21"/>
  <c r="G359" i="27"/>
  <c r="G50" i="27" s="1"/>
  <c r="A408" i="25"/>
  <c r="A149" i="29"/>
  <c r="O149" i="29"/>
  <c r="A390" i="20"/>
  <c r="A46" i="15"/>
  <c r="O150" i="20"/>
  <c r="A402" i="28"/>
  <c r="A383" i="19"/>
  <c r="G359" i="24"/>
  <c r="G50" i="24" s="1"/>
  <c r="I309" i="3"/>
  <c r="A74" i="15"/>
  <c r="A409" i="3"/>
  <c r="A66" i="18" s="1"/>
  <c r="A373" i="28"/>
  <c r="G154" i="27"/>
  <c r="O203" i="20"/>
  <c r="A404" i="28"/>
  <c r="O247" i="25"/>
  <c r="A319" i="21"/>
  <c r="I154" i="27"/>
  <c r="A326" i="19"/>
  <c r="A395" i="19" s="1"/>
  <c r="A323" i="20"/>
  <c r="A329" i="24"/>
  <c r="F151" i="19"/>
  <c r="A371" i="29"/>
  <c r="A62" i="29" s="1"/>
  <c r="A411" i="25"/>
  <c r="A412" i="26"/>
  <c r="G372" i="22"/>
  <c r="A385" i="26"/>
  <c r="F154" i="21"/>
  <c r="A409" i="19"/>
  <c r="B60" i="4"/>
  <c r="C50" i="31" s="1"/>
  <c r="A371" i="19"/>
  <c r="A62" i="19" s="1"/>
  <c r="G359" i="19"/>
  <c r="G50" i="19" s="1"/>
  <c r="A378" i="28"/>
  <c r="A384" i="28"/>
  <c r="A408" i="22"/>
  <c r="I154" i="24"/>
  <c r="I244" i="26"/>
  <c r="E314" i="28"/>
  <c r="A384" i="25"/>
  <c r="F151" i="23"/>
  <c r="A419" i="29"/>
  <c r="A245" i="21"/>
  <c r="O245" i="21"/>
  <c r="A326" i="29"/>
  <c r="A395" i="29" s="1"/>
  <c r="A444" i="23"/>
  <c r="A311" i="19"/>
  <c r="A22" i="21"/>
  <c r="A376" i="27"/>
  <c r="A376" i="26"/>
  <c r="A130" i="15"/>
  <c r="E151" i="27"/>
  <c r="A382" i="21"/>
  <c r="A428" i="26"/>
  <c r="A313" i="27"/>
  <c r="A433" i="25"/>
  <c r="A370" i="20"/>
  <c r="A61" i="20" s="1"/>
  <c r="O204" i="22"/>
  <c r="A421" i="25"/>
  <c r="A415" i="27"/>
  <c r="H151" i="26"/>
  <c r="F314" i="29"/>
  <c r="A457" i="19"/>
  <c r="A202" i="25"/>
  <c r="A390" i="28"/>
  <c r="A245" i="27"/>
  <c r="O245" i="27"/>
  <c r="A437" i="27"/>
  <c r="A456" i="28"/>
  <c r="A370" i="24"/>
  <c r="A61" i="24" s="1"/>
  <c r="I199" i="27"/>
  <c r="A200" i="27"/>
  <c r="O200" i="27"/>
  <c r="A318" i="24"/>
  <c r="A378" i="29"/>
  <c r="H372" i="21"/>
  <c r="I63" i="21" s="1"/>
  <c r="O244" i="29"/>
  <c r="A244" i="29"/>
  <c r="O246" i="3"/>
  <c r="A415" i="26"/>
  <c r="A433" i="21"/>
  <c r="A437" i="20"/>
  <c r="G359" i="28"/>
  <c r="G50" i="28" s="1"/>
  <c r="O204" i="27"/>
  <c r="J154" i="28"/>
  <c r="A374" i="29"/>
  <c r="A22" i="29"/>
  <c r="A312" i="24"/>
  <c r="A1" i="22"/>
  <c r="A314" i="23"/>
  <c r="A393" i="24"/>
  <c r="O215" i="20"/>
  <c r="A313" i="21"/>
  <c r="O213" i="23"/>
  <c r="A213" i="23"/>
  <c r="A148" i="26"/>
  <c r="O148" i="26"/>
  <c r="A407" i="24"/>
  <c r="A319" i="27"/>
  <c r="A131" i="15"/>
  <c r="O204" i="20"/>
  <c r="A204" i="20" s="1"/>
  <c r="A384" i="29"/>
  <c r="O155" i="19"/>
  <c r="A155" i="19"/>
  <c r="A199" i="25"/>
  <c r="O199" i="25"/>
  <c r="H372" i="3"/>
  <c r="A1" i="3"/>
  <c r="A319" i="24"/>
  <c r="G359" i="20"/>
  <c r="G50" i="20" s="1"/>
  <c r="A1" i="28"/>
  <c r="I151" i="24"/>
  <c r="A387" i="22"/>
  <c r="A417" i="19"/>
  <c r="A151" i="3"/>
  <c r="O151" i="3"/>
  <c r="P302" i="20"/>
  <c r="G302" i="20" s="1"/>
  <c r="A407" i="22"/>
  <c r="H372" i="25"/>
  <c r="A385" i="19"/>
  <c r="O148" i="3"/>
  <c r="A148" i="3"/>
  <c r="A85" i="15"/>
  <c r="A392" i="3"/>
  <c r="A49" i="18" s="1"/>
  <c r="A456" i="3"/>
  <c r="A373" i="24"/>
  <c r="A399" i="25"/>
  <c r="A314" i="22"/>
  <c r="A326" i="23"/>
  <c r="A395" i="23" s="1"/>
  <c r="I309" i="21"/>
  <c r="C63" i="31"/>
  <c r="O203" i="3"/>
  <c r="A314" i="21"/>
  <c r="A419" i="27"/>
  <c r="A312" i="26"/>
  <c r="A61" i="15"/>
  <c r="A440" i="21"/>
  <c r="A378" i="23"/>
  <c r="D314" i="26"/>
  <c r="E202" i="21"/>
  <c r="I154" i="22"/>
  <c r="H154" i="19"/>
  <c r="A421" i="23"/>
  <c r="F154" i="25"/>
  <c r="A451" i="21"/>
  <c r="I20" i="3"/>
  <c r="A152" i="26"/>
  <c r="O152" i="26"/>
  <c r="O246" i="26"/>
  <c r="A246" i="26" s="1"/>
  <c r="A447" i="24"/>
  <c r="A320" i="3"/>
  <c r="A457" i="22"/>
  <c r="A95" i="15"/>
  <c r="A410" i="29"/>
  <c r="A392" i="24"/>
  <c r="O246" i="19"/>
  <c r="J151" i="26"/>
  <c r="A385" i="27"/>
  <c r="A393" i="3"/>
  <c r="A50" i="18" s="1"/>
  <c r="O246" i="21"/>
  <c r="O146" i="24"/>
  <c r="A146" i="24"/>
  <c r="A390" i="22"/>
  <c r="A20" i="29"/>
  <c r="A430" i="27"/>
  <c r="H151" i="27"/>
  <c r="A311" i="23"/>
  <c r="A333" i="29"/>
  <c r="E202" i="22"/>
  <c r="A392" i="21"/>
  <c r="G314" i="3"/>
  <c r="A430" i="28"/>
  <c r="A314" i="24"/>
  <c r="A314" i="25"/>
  <c r="H372" i="22"/>
  <c r="A313" i="24"/>
  <c r="A329" i="22"/>
  <c r="H154" i="26"/>
  <c r="A311" i="21"/>
  <c r="I309" i="25"/>
  <c r="A393" i="27"/>
  <c r="A317" i="21"/>
  <c r="A383" i="29"/>
  <c r="I309" i="23"/>
  <c r="J151" i="21"/>
  <c r="O211" i="22"/>
  <c r="A378" i="19"/>
  <c r="G372" i="24"/>
  <c r="H63" i="24" s="1"/>
  <c r="A309" i="24"/>
  <c r="A411" i="29"/>
  <c r="A326" i="3"/>
  <c r="A395" i="3" s="1"/>
  <c r="A52" i="18" s="1"/>
  <c r="A14" i="4"/>
  <c r="A414" i="29"/>
  <c r="A412" i="22"/>
  <c r="O203" i="29"/>
  <c r="A385" i="28"/>
  <c r="O155" i="21"/>
  <c r="A155" i="21"/>
  <c r="I309" i="29"/>
  <c r="A313" i="3"/>
  <c r="A331" i="26"/>
  <c r="J154" i="29"/>
  <c r="O200" i="22"/>
  <c r="A200" i="22"/>
  <c r="A411" i="23"/>
  <c r="A406" i="22"/>
  <c r="A318" i="20"/>
  <c r="A382" i="27"/>
  <c r="A333" i="21"/>
  <c r="A314" i="3"/>
  <c r="A384" i="21"/>
  <c r="O214" i="3"/>
  <c r="A382" i="24"/>
  <c r="A428" i="29"/>
  <c r="A333" i="27"/>
  <c r="A45" i="15"/>
  <c r="A317" i="23"/>
  <c r="A245" i="20"/>
  <c r="O245" i="20"/>
  <c r="A443" i="26"/>
  <c r="A148" i="21"/>
  <c r="O148" i="21"/>
  <c r="C96" i="31"/>
  <c r="A385" i="22"/>
  <c r="A408" i="21"/>
  <c r="A146" i="23"/>
  <c r="O146" i="23"/>
  <c r="O211" i="23"/>
  <c r="F151" i="22"/>
  <c r="E151" i="26"/>
  <c r="O247" i="3"/>
  <c r="A457" i="21"/>
  <c r="A421" i="29"/>
  <c r="G154" i="25"/>
  <c r="A406" i="3"/>
  <c r="A63" i="18" s="1"/>
  <c r="A436" i="24"/>
  <c r="O149" i="3"/>
  <c r="A149" i="3"/>
  <c r="A407" i="23"/>
  <c r="G314" i="20"/>
  <c r="A408" i="19"/>
  <c r="I244" i="27"/>
  <c r="A326" i="25"/>
  <c r="A395" i="25" s="1"/>
  <c r="I244" i="22"/>
  <c r="A419" i="28"/>
  <c r="P302" i="24"/>
  <c r="G302" i="24" s="1"/>
  <c r="A36" i="15"/>
  <c r="F154" i="20"/>
  <c r="E151" i="23"/>
  <c r="A377" i="20"/>
  <c r="A149" i="19"/>
  <c r="O149" i="19"/>
  <c r="A409" i="23"/>
  <c r="O203" i="22"/>
  <c r="A312" i="20"/>
  <c r="G154" i="24"/>
  <c r="A1" i="26"/>
  <c r="A419" i="25"/>
  <c r="A387" i="3"/>
  <c r="A44" i="18" s="1"/>
  <c r="A331" i="24"/>
  <c r="A384" i="3"/>
  <c r="A41" i="18" s="1"/>
  <c r="G372" i="20"/>
  <c r="H154" i="3"/>
  <c r="I154" i="23"/>
  <c r="O201" i="27"/>
  <c r="A201" i="27"/>
  <c r="A374" i="21"/>
  <c r="A202" i="29"/>
  <c r="A436" i="28"/>
  <c r="A399" i="22"/>
  <c r="O247" i="24"/>
  <c r="F151" i="25"/>
  <c r="A412" i="27"/>
  <c r="A440" i="25"/>
  <c r="A392" i="25"/>
  <c r="A1" i="27"/>
  <c r="A378" i="20"/>
  <c r="A333" i="28"/>
  <c r="A331" i="27"/>
  <c r="A103" i="15"/>
  <c r="O247" i="23"/>
  <c r="A407" i="3"/>
  <c r="A64" i="18" s="1"/>
  <c r="A202" i="22"/>
  <c r="A80" i="15"/>
  <c r="A436" i="29"/>
  <c r="A372" i="21"/>
  <c r="A94" i="15"/>
  <c r="A375" i="28"/>
  <c r="A421" i="27"/>
  <c r="A402" i="29"/>
  <c r="A108" i="15"/>
  <c r="A404" i="27"/>
  <c r="A414" i="23"/>
  <c r="J151" i="27"/>
  <c r="A370" i="29"/>
  <c r="A61" i="29" s="1"/>
  <c r="A384" i="26"/>
  <c r="A22" i="19"/>
  <c r="H151" i="22"/>
  <c r="O151" i="23"/>
  <c r="A151" i="23"/>
  <c r="I20" i="26"/>
  <c r="E202" i="25"/>
  <c r="O204" i="26"/>
  <c r="A244" i="20"/>
  <c r="O244" i="20"/>
  <c r="A155" i="27"/>
  <c r="O155" i="27"/>
  <c r="A384" i="19"/>
  <c r="F154" i="19"/>
  <c r="G154" i="29"/>
  <c r="H151" i="25"/>
  <c r="A146" i="27"/>
  <c r="O146" i="27"/>
  <c r="A213" i="26"/>
  <c r="O213" i="26"/>
  <c r="A371" i="27"/>
  <c r="A62" i="27" s="1"/>
  <c r="D314" i="27"/>
  <c r="I151" i="27"/>
  <c r="A428" i="24"/>
  <c r="A415" i="24"/>
  <c r="A406" i="24"/>
  <c r="A376" i="22"/>
  <c r="A430" i="25"/>
  <c r="O203" i="21"/>
  <c r="A437" i="29"/>
  <c r="O214" i="19"/>
  <c r="A436" i="20"/>
  <c r="I244" i="28"/>
  <c r="E151" i="22"/>
  <c r="A412" i="24"/>
  <c r="A397" i="20"/>
  <c r="O201" i="21"/>
  <c r="A201" i="21"/>
  <c r="A414" i="26"/>
  <c r="G151" i="3"/>
  <c r="A378" i="25"/>
  <c r="A387" i="29"/>
  <c r="A202" i="23"/>
  <c r="O201" i="24"/>
  <c r="A201" i="24"/>
  <c r="A421" i="28"/>
  <c r="A372" i="29"/>
  <c r="A444" i="19"/>
  <c r="A397" i="26"/>
  <c r="O146" i="19"/>
  <c r="A146" i="19"/>
  <c r="P302" i="28"/>
  <c r="G302" i="28" s="1"/>
  <c r="O148" i="25"/>
  <c r="A148" i="25"/>
  <c r="O213" i="20"/>
  <c r="A213" i="20"/>
  <c r="I154" i="25"/>
  <c r="F154" i="22"/>
  <c r="A317" i="3"/>
  <c r="A148" i="24"/>
  <c r="O148" i="24"/>
  <c r="A425" i="20"/>
  <c r="A393" i="21"/>
  <c r="A320" i="22"/>
  <c r="A423" i="21"/>
  <c r="A312" i="29"/>
  <c r="A373" i="3"/>
  <c r="A30" i="18" s="1"/>
  <c r="A419" i="21"/>
  <c r="A371" i="22"/>
  <c r="A62" i="22" s="1"/>
  <c r="A409" i="28"/>
  <c r="A382" i="23"/>
  <c r="O151" i="26"/>
  <c r="A151" i="26"/>
  <c r="A329" i="21"/>
  <c r="P302" i="22"/>
  <c r="G302" i="22" s="1"/>
  <c r="A415" i="3"/>
  <c r="A72" i="18" s="1"/>
  <c r="A432" i="26"/>
  <c r="A370" i="25"/>
  <c r="A61" i="25" s="1"/>
  <c r="A375" i="29"/>
  <c r="A411" i="21"/>
  <c r="I244" i="21"/>
  <c r="O244" i="3"/>
  <c r="A244" i="3"/>
  <c r="A146" i="21"/>
  <c r="O146" i="21"/>
  <c r="A417" i="26"/>
  <c r="O200" i="3"/>
  <c r="A200" i="3"/>
  <c r="F314" i="19"/>
  <c r="O200" i="23"/>
  <c r="A200" i="23"/>
  <c r="A385" i="20"/>
  <c r="F154" i="27"/>
  <c r="A444" i="22"/>
  <c r="A406" i="29"/>
  <c r="A314" i="26"/>
  <c r="A387" i="27"/>
  <c r="I244" i="3"/>
  <c r="A20" i="24"/>
  <c r="A22" i="27"/>
  <c r="I151" i="29"/>
  <c r="C64" i="31"/>
  <c r="A377" i="28"/>
  <c r="I372" i="20"/>
  <c r="J372" i="20" s="1"/>
  <c r="A380" i="25"/>
  <c r="A451" i="29"/>
  <c r="E151" i="3"/>
  <c r="A320" i="29"/>
  <c r="A444" i="29"/>
  <c r="G314" i="19"/>
  <c r="A425" i="29"/>
  <c r="A309" i="20"/>
  <c r="A384" i="27"/>
  <c r="A372" i="26"/>
  <c r="A63" i="26" s="1"/>
  <c r="A387" i="26"/>
  <c r="O245" i="23"/>
  <c r="A245" i="23"/>
  <c r="J154" i="27"/>
  <c r="A385" i="24"/>
  <c r="A333" i="3"/>
  <c r="A313" i="20"/>
  <c r="A376" i="25"/>
  <c r="A430" i="23"/>
  <c r="A437" i="22"/>
  <c r="G151" i="28"/>
  <c r="A428" i="28"/>
  <c r="A444" i="20"/>
  <c r="O215" i="28"/>
  <c r="A436" i="25"/>
  <c r="A393" i="28"/>
  <c r="I154" i="29"/>
  <c r="A440" i="28"/>
  <c r="A390" i="26"/>
  <c r="A412" i="20"/>
  <c r="A329" i="20"/>
  <c r="A428" i="27"/>
  <c r="I151" i="3"/>
  <c r="O203" i="24"/>
  <c r="A203" i="24" s="1"/>
  <c r="A432" i="21"/>
  <c r="G372" i="28"/>
  <c r="H63" i="28" s="1"/>
  <c r="A377" i="24"/>
  <c r="O148" i="22"/>
  <c r="A148" i="22"/>
  <c r="A376" i="29"/>
  <c r="O155" i="25"/>
  <c r="A155" i="25"/>
  <c r="A433" i="24"/>
  <c r="A372" i="19"/>
  <c r="A456" i="23"/>
  <c r="A373" i="21"/>
  <c r="G372" i="27"/>
  <c r="H63" i="27" s="1"/>
  <c r="A383" i="20"/>
  <c r="O215" i="27"/>
  <c r="C77" i="31"/>
  <c r="H154" i="27"/>
  <c r="A402" i="23"/>
  <c r="A376" i="24"/>
  <c r="A457" i="27"/>
  <c r="F314" i="27"/>
  <c r="A201" i="25"/>
  <c r="O201" i="25"/>
  <c r="A199" i="20"/>
  <c r="O199" i="20"/>
  <c r="P302" i="26"/>
  <c r="G302" i="26" s="1"/>
  <c r="J151" i="19"/>
  <c r="J151" i="3"/>
  <c r="J151" i="24"/>
  <c r="A245" i="3"/>
  <c r="O245" i="3"/>
  <c r="A319" i="19"/>
  <c r="A318" i="28"/>
  <c r="O247" i="19"/>
  <c r="G151" i="19"/>
  <c r="A58" i="15"/>
  <c r="A20" i="19"/>
  <c r="D314" i="21"/>
  <c r="A407" i="28"/>
  <c r="A375" i="26"/>
  <c r="O215" i="22"/>
  <c r="A146" i="22"/>
  <c r="O146" i="22"/>
  <c r="B97" i="4"/>
  <c r="C87" i="31" s="1"/>
  <c r="A412" i="3"/>
  <c r="A69" i="18" s="1"/>
  <c r="A375" i="3"/>
  <c r="A32" i="18" s="1"/>
  <c r="A393" i="29"/>
  <c r="A376" i="21"/>
  <c r="E202" i="26"/>
  <c r="O204" i="29"/>
  <c r="H151" i="21"/>
  <c r="O204" i="21"/>
  <c r="A370" i="27"/>
  <c r="A61" i="27" s="1"/>
  <c r="A53" i="15"/>
  <c r="O213" i="19"/>
  <c r="A213" i="19"/>
  <c r="O211" i="19"/>
  <c r="A79" i="15"/>
  <c r="A415" i="23"/>
  <c r="A456" i="22"/>
  <c r="A35" i="15"/>
  <c r="A410" i="27"/>
  <c r="I199" i="22"/>
  <c r="E314" i="29"/>
  <c r="O152" i="21"/>
  <c r="A152" i="21"/>
  <c r="A312" i="19"/>
  <c r="A399" i="26"/>
  <c r="A383" i="24"/>
  <c r="A438" i="26"/>
  <c r="A402" i="26"/>
  <c r="O245" i="22"/>
  <c r="A245" i="22"/>
  <c r="A329" i="26"/>
  <c r="A436" i="19"/>
  <c r="C70" i="31"/>
  <c r="A374" i="19"/>
  <c r="O204" i="19"/>
  <c r="A423" i="27"/>
  <c r="A411" i="28"/>
  <c r="A370" i="28"/>
  <c r="A61" i="28" s="1"/>
  <c r="A419" i="26"/>
  <c r="A438" i="21"/>
  <c r="A432" i="29"/>
  <c r="J154" i="24"/>
  <c r="G372" i="19"/>
  <c r="A423" i="28"/>
  <c r="A148" i="19"/>
  <c r="O148" i="19"/>
  <c r="A56" i="15"/>
  <c r="A329" i="19"/>
  <c r="E60" i="31"/>
  <c r="D85" i="15"/>
  <c r="A384" i="23"/>
  <c r="A383" i="27"/>
  <c r="A419" i="20"/>
  <c r="A387" i="24"/>
  <c r="A317" i="27"/>
  <c r="A374" i="28"/>
  <c r="F314" i="24"/>
  <c r="F151" i="26"/>
  <c r="A199" i="26"/>
  <c r="O199" i="26"/>
  <c r="H154" i="21"/>
  <c r="A417" i="27"/>
  <c r="O247" i="26"/>
  <c r="A425" i="3"/>
  <c r="A82" i="18" s="1"/>
  <c r="F151" i="29"/>
  <c r="A393" i="19"/>
  <c r="A423" i="22"/>
  <c r="A377" i="21"/>
  <c r="A451" i="28"/>
  <c r="A437" i="19"/>
  <c r="A425" i="19"/>
  <c r="A456" i="27"/>
  <c r="A443" i="21"/>
  <c r="H154" i="24"/>
  <c r="A86" i="15"/>
  <c r="A309" i="28"/>
  <c r="A38" i="15"/>
  <c r="A447" i="29"/>
  <c r="A93" i="15"/>
  <c r="O211" i="28"/>
  <c r="A110" i="15"/>
  <c r="A378" i="3"/>
  <c r="A35" i="18" s="1"/>
  <c r="J151" i="22"/>
  <c r="A385" i="3"/>
  <c r="A42" i="18" s="1"/>
  <c r="G314" i="25"/>
  <c r="E151" i="25"/>
  <c r="A311" i="25"/>
  <c r="G359" i="29"/>
  <c r="G50" i="29" s="1"/>
  <c r="A392" i="22"/>
  <c r="A113" i="15"/>
  <c r="A152" i="24"/>
  <c r="O152" i="24"/>
  <c r="A402" i="19"/>
  <c r="O213" i="25"/>
  <c r="A213" i="25"/>
  <c r="A419" i="23"/>
  <c r="A309" i="3"/>
  <c r="A319" i="28"/>
  <c r="A73" i="15"/>
  <c r="O246" i="29"/>
  <c r="J151" i="29"/>
  <c r="A378" i="26"/>
  <c r="A387" i="28"/>
  <c r="A404" i="20"/>
  <c r="E211" i="25"/>
  <c r="A402" i="27"/>
  <c r="A62" i="15"/>
  <c r="O214" i="24"/>
  <c r="E215" i="28"/>
  <c r="A215" i="28"/>
  <c r="E204" i="27"/>
  <c r="A204" i="27"/>
  <c r="A203" i="28"/>
  <c r="E203" i="28"/>
  <c r="I63" i="25"/>
  <c r="E247" i="22"/>
  <c r="A247" i="22"/>
  <c r="A203" i="26"/>
  <c r="E203" i="26"/>
  <c r="P63" i="25"/>
  <c r="A204" i="23"/>
  <c r="P63" i="22"/>
  <c r="H63" i="29"/>
  <c r="A247" i="24"/>
  <c r="E247" i="24"/>
  <c r="A211" i="27"/>
  <c r="E211" i="27"/>
  <c r="I63" i="27"/>
  <c r="A211" i="24"/>
  <c r="E211" i="24"/>
  <c r="E204" i="25"/>
  <c r="A204" i="25"/>
  <c r="A63" i="23"/>
  <c r="I63" i="23"/>
  <c r="J63" i="23"/>
  <c r="P63" i="23"/>
  <c r="E214" i="23"/>
  <c r="A214" i="23"/>
  <c r="A211" i="19"/>
  <c r="E211" i="19"/>
  <c r="E204" i="24"/>
  <c r="A204" i="24"/>
  <c r="A63" i="25"/>
  <c r="E203" i="25"/>
  <c r="A63" i="22"/>
  <c r="E204" i="26"/>
  <c r="A204" i="26"/>
  <c r="E211" i="23"/>
  <c r="A211" i="23"/>
  <c r="H63" i="20"/>
  <c r="I63" i="20"/>
  <c r="A63" i="20"/>
  <c r="P63" i="20"/>
  <c r="J63" i="20"/>
  <c r="E203" i="20"/>
  <c r="A203" i="20"/>
  <c r="A211" i="22"/>
  <c r="E211" i="22"/>
  <c r="E214" i="29"/>
  <c r="A214" i="29"/>
  <c r="A203" i="23"/>
  <c r="E203" i="23"/>
  <c r="E211" i="3"/>
  <c r="A211" i="3"/>
  <c r="E215" i="23"/>
  <c r="A215" i="23"/>
  <c r="J63" i="22"/>
  <c r="A214" i="24"/>
  <c r="E214" i="24"/>
  <c r="J63" i="25"/>
  <c r="P63" i="29"/>
  <c r="E246" i="29"/>
  <c r="A246" i="29"/>
  <c r="A247" i="19"/>
  <c r="E247" i="19"/>
  <c r="A215" i="22"/>
  <c r="E215" i="22"/>
  <c r="E203" i="22"/>
  <c r="A203" i="22"/>
  <c r="A246" i="21"/>
  <c r="E246" i="21"/>
  <c r="A247" i="29"/>
  <c r="E247" i="29"/>
  <c r="AP270" i="22"/>
  <c r="AR270" i="22" s="1"/>
  <c r="AO270" i="22"/>
  <c r="AK272" i="22"/>
  <c r="AL271" i="22"/>
  <c r="AN271" i="22" s="1"/>
  <c r="A204" i="21" l="1"/>
  <c r="E204" i="21"/>
  <c r="A247" i="23"/>
  <c r="E247" i="23"/>
  <c r="A63" i="3"/>
  <c r="H63" i="3"/>
  <c r="J63" i="3"/>
  <c r="P63" i="3"/>
  <c r="A215" i="21"/>
  <c r="E215" i="21"/>
  <c r="A247" i="20"/>
  <c r="E247" i="20"/>
  <c r="A214" i="22"/>
  <c r="E214" i="22"/>
  <c r="P63" i="19"/>
  <c r="J63" i="19"/>
  <c r="A63" i="19"/>
  <c r="I63" i="19"/>
  <c r="E246" i="23"/>
  <c r="E211" i="28"/>
  <c r="A211" i="28"/>
  <c r="A215" i="27"/>
  <c r="E215" i="27"/>
  <c r="A203" i="21"/>
  <c r="E203" i="21"/>
  <c r="A214" i="3"/>
  <c r="E214" i="3"/>
  <c r="A246" i="19"/>
  <c r="E246" i="19"/>
  <c r="A203" i="3"/>
  <c r="E203" i="3"/>
  <c r="E215" i="20"/>
  <c r="A215" i="20"/>
  <c r="A63" i="27"/>
  <c r="J63" i="27"/>
  <c r="P63" i="27"/>
  <c r="A246" i="20"/>
  <c r="E246" i="20"/>
  <c r="A246" i="24"/>
  <c r="E246" i="24"/>
  <c r="E215" i="24"/>
  <c r="A215" i="24"/>
  <c r="A246" i="28"/>
  <c r="E246" i="28"/>
  <c r="E246" i="22"/>
  <c r="A246" i="22"/>
  <c r="E246" i="27"/>
  <c r="A246" i="27"/>
  <c r="E203" i="27"/>
  <c r="A203" i="27"/>
  <c r="E211" i="21"/>
  <c r="A211" i="21"/>
  <c r="H63" i="26"/>
  <c r="J63" i="26"/>
  <c r="P63" i="26"/>
  <c r="E247" i="25"/>
  <c r="A247" i="25"/>
  <c r="E214" i="21"/>
  <c r="A214" i="21"/>
  <c r="A247" i="27"/>
  <c r="E247" i="27"/>
  <c r="A214" i="28"/>
  <c r="E214" i="28"/>
  <c r="E214" i="25"/>
  <c r="E203" i="24"/>
  <c r="A247" i="28"/>
  <c r="A214" i="27"/>
  <c r="E204" i="20"/>
  <c r="E246" i="26"/>
  <c r="E247" i="26"/>
  <c r="A247" i="26"/>
  <c r="H63" i="19"/>
  <c r="A204" i="19"/>
  <c r="E204" i="19"/>
  <c r="E204" i="29"/>
  <c r="A204" i="29"/>
  <c r="A247" i="3"/>
  <c r="E247" i="3"/>
  <c r="A203" i="29"/>
  <c r="E203" i="29"/>
  <c r="I63" i="3"/>
  <c r="E246" i="3"/>
  <c r="A246" i="3"/>
  <c r="H63" i="22"/>
  <c r="I63" i="22"/>
  <c r="P63" i="28"/>
  <c r="A63" i="28"/>
  <c r="J63" i="28"/>
  <c r="E211" i="20"/>
  <c r="A211" i="20"/>
  <c r="E203" i="19"/>
  <c r="A203" i="19"/>
  <c r="P63" i="24"/>
  <c r="A63" i="24"/>
  <c r="J63" i="24"/>
  <c r="E214" i="26"/>
  <c r="A214" i="26"/>
  <c r="A204" i="3"/>
  <c r="E204" i="3"/>
  <c r="A215" i="3"/>
  <c r="E215" i="3"/>
  <c r="A215" i="25"/>
  <c r="E215" i="25"/>
  <c r="E204" i="28"/>
  <c r="A204" i="28"/>
  <c r="A211" i="26"/>
  <c r="E211" i="26"/>
  <c r="E211" i="29"/>
  <c r="E215" i="29"/>
  <c r="E214" i="19"/>
  <c r="A214" i="19"/>
  <c r="E204" i="22"/>
  <c r="A204" i="22"/>
  <c r="A63" i="29"/>
  <c r="J63" i="29"/>
  <c r="A215" i="26"/>
  <c r="E215" i="26"/>
  <c r="A215" i="19"/>
  <c r="E215" i="19"/>
  <c r="E214" i="20"/>
  <c r="A214" i="20"/>
  <c r="A246" i="25"/>
  <c r="E246" i="25"/>
  <c r="A247" i="21"/>
  <c r="E247" i="21"/>
  <c r="H63" i="25"/>
  <c r="P63" i="21"/>
  <c r="H63" i="21"/>
  <c r="A63" i="21"/>
  <c r="J63" i="21"/>
  <c r="AP271" i="22"/>
  <c r="AR271" i="22" s="1"/>
  <c r="AO271" i="22"/>
  <c r="AL272" i="22"/>
  <c r="AN272" i="22" s="1"/>
  <c r="AK273" i="22"/>
  <c r="AK274" i="22" l="1"/>
  <c r="AL273" i="22"/>
  <c r="AN273" i="22" s="1"/>
  <c r="AO272" i="22"/>
  <c r="AP272" i="22"/>
  <c r="AR272" i="22" s="1"/>
  <c r="AP273" i="22" l="1"/>
  <c r="AR273" i="22" s="1"/>
  <c r="AO273" i="22"/>
  <c r="AL274" i="22"/>
  <c r="AN274" i="22" s="1"/>
  <c r="AK275" i="22"/>
  <c r="AK276" i="22" l="1"/>
  <c r="AL275" i="22"/>
  <c r="AN275" i="22" s="1"/>
  <c r="AO274" i="22"/>
  <c r="AP274" i="22"/>
  <c r="AR274" i="22" s="1"/>
  <c r="AP275" i="22" l="1"/>
  <c r="AR275" i="22" s="1"/>
  <c r="AO275" i="22"/>
  <c r="AL276" i="22"/>
  <c r="AN276" i="22" s="1"/>
  <c r="AK277" i="22"/>
  <c r="AL277" i="22" l="1"/>
  <c r="AN277" i="22" s="1"/>
  <c r="AK278" i="22"/>
  <c r="AP276" i="22"/>
  <c r="AR276" i="22" s="1"/>
  <c r="AO276" i="22"/>
  <c r="AK279" i="22" l="1"/>
  <c r="AL278" i="22"/>
  <c r="AN278" i="22" s="1"/>
  <c r="AO277" i="22"/>
  <c r="AP277" i="22"/>
  <c r="AR277" i="22" s="1"/>
  <c r="AO278" i="22" l="1"/>
  <c r="AP278" i="22"/>
  <c r="AR278" i="22" s="1"/>
  <c r="AL279" i="22"/>
  <c r="AN279" i="22" s="1"/>
  <c r="AK280" i="22"/>
  <c r="AL280" i="22" l="1"/>
  <c r="AN280" i="22" s="1"/>
  <c r="AK281" i="22"/>
  <c r="AO279" i="22"/>
  <c r="AP279" i="22"/>
  <c r="AR279" i="22" s="1"/>
  <c r="AL281" i="22" l="1"/>
  <c r="AN281" i="22" s="1"/>
  <c r="AK282" i="22"/>
  <c r="AP280" i="22"/>
  <c r="AR280" i="22" s="1"/>
  <c r="AO280" i="22"/>
  <c r="AL282" i="22" l="1"/>
  <c r="AN282" i="22" s="1"/>
  <c r="AK283" i="22"/>
  <c r="AO281" i="22"/>
  <c r="AP281" i="22"/>
  <c r="AR281" i="22" s="1"/>
  <c r="AL283" i="22" l="1"/>
  <c r="AN283" i="22" s="1"/>
  <c r="AK284" i="22"/>
  <c r="AP282" i="22"/>
  <c r="AR282" i="22" s="1"/>
  <c r="AO282" i="22"/>
  <c r="AL284" i="22" l="1"/>
  <c r="AN284" i="22" s="1"/>
  <c r="AK285" i="22"/>
  <c r="AP283" i="22"/>
  <c r="AR283" i="22" s="1"/>
  <c r="AO283" i="22"/>
  <c r="AL285" i="22" l="1"/>
  <c r="AN285" i="22" s="1"/>
  <c r="AK286" i="22"/>
  <c r="AP284" i="22"/>
  <c r="AR284" i="22" s="1"/>
  <c r="AO284" i="22"/>
  <c r="AL286" i="22" l="1"/>
  <c r="AN286" i="22" s="1"/>
  <c r="AK287" i="22"/>
  <c r="AP285" i="22"/>
  <c r="AR285" i="22" s="1"/>
  <c r="AO285" i="22"/>
  <c r="AL287" i="22" l="1"/>
  <c r="AN287" i="22" s="1"/>
  <c r="AK288" i="22"/>
  <c r="AO286" i="22"/>
  <c r="AP286" i="22"/>
  <c r="AR286" i="22" s="1"/>
  <c r="AL288" i="22" l="1"/>
  <c r="AN288" i="22" s="1"/>
  <c r="AK289" i="22"/>
  <c r="AO287" i="22"/>
  <c r="AP287" i="22"/>
  <c r="AR287" i="22" s="1"/>
  <c r="AK290" i="22" l="1"/>
  <c r="AL289" i="22"/>
  <c r="AN289" i="22" s="1"/>
  <c r="AP288" i="22"/>
  <c r="AR288" i="22" s="1"/>
  <c r="AO288" i="22"/>
  <c r="AP289" i="22" l="1"/>
  <c r="AR289" i="22" s="1"/>
  <c r="AO289" i="22"/>
  <c r="AK291" i="22"/>
  <c r="AL290" i="22"/>
  <c r="AN290" i="22" s="1"/>
  <c r="AK292" i="22" l="1"/>
  <c r="AL291" i="22"/>
  <c r="AN291" i="22" s="1"/>
  <c r="AP290" i="22"/>
  <c r="AR290" i="22" s="1"/>
  <c r="AO290" i="22"/>
  <c r="AO291" i="22" l="1"/>
  <c r="AP291" i="22"/>
  <c r="AR291" i="22" s="1"/>
  <c r="AL292" i="22"/>
  <c r="AN292" i="22" s="1"/>
  <c r="AK293" i="22"/>
  <c r="AK294" i="22" l="1"/>
  <c r="AL293" i="22"/>
  <c r="AN293" i="22" s="1"/>
  <c r="AO292" i="22"/>
  <c r="AP292" i="22"/>
  <c r="AR292" i="22" s="1"/>
  <c r="AO293" i="22" l="1"/>
  <c r="AP293" i="22"/>
  <c r="AR293" i="22" s="1"/>
  <c r="AL294" i="22"/>
  <c r="AN294" i="22" s="1"/>
  <c r="AK295" i="22"/>
  <c r="AK263" i="23" s="1"/>
  <c r="AK264" i="23" s="1"/>
  <c r="AO294" i="22" l="1"/>
  <c r="AP294" i="22"/>
  <c r="AK265" i="23"/>
  <c r="AL264" i="23"/>
  <c r="AN264" i="23" s="1"/>
  <c r="AK266" i="23" l="1"/>
  <c r="AL265" i="23"/>
  <c r="AN265" i="23" s="1"/>
  <c r="AP264" i="23"/>
  <c r="AO264" i="23"/>
  <c r="AP295" i="22"/>
  <c r="AP263" i="23" s="1"/>
  <c r="AR294" i="22"/>
  <c r="AR295" i="22" s="1"/>
  <c r="AR263" i="23" s="1"/>
  <c r="AR264" i="23" l="1"/>
  <c r="AP265" i="23"/>
  <c r="AO265" i="23"/>
  <c r="AK267" i="23"/>
  <c r="AL266" i="23"/>
  <c r="AN266" i="23" s="1"/>
  <c r="AR265" i="23" l="1"/>
  <c r="AK268" i="23"/>
  <c r="AL267" i="23"/>
  <c r="AN267" i="23" s="1"/>
  <c r="AP266" i="23"/>
  <c r="AO266" i="23"/>
  <c r="AR266" i="23" l="1"/>
  <c r="AO267" i="23"/>
  <c r="AP267" i="23"/>
  <c r="AL268" i="23"/>
  <c r="AN268" i="23" s="1"/>
  <c r="AK269" i="23"/>
  <c r="AR267" i="23" l="1"/>
  <c r="AK270" i="23"/>
  <c r="AL269" i="23"/>
  <c r="AN269" i="23" s="1"/>
  <c r="AO268" i="23"/>
  <c r="AP268" i="23"/>
  <c r="AR268" i="23" l="1"/>
  <c r="AO269" i="23"/>
  <c r="AP269" i="23"/>
  <c r="AK271" i="23"/>
  <c r="AL270" i="23"/>
  <c r="AN270" i="23" s="1"/>
  <c r="AR269" i="23" l="1"/>
  <c r="AP270" i="23"/>
  <c r="AO270" i="23"/>
  <c r="AK272" i="23"/>
  <c r="AL271" i="23"/>
  <c r="AN271" i="23" s="1"/>
  <c r="AR270" i="23" l="1"/>
  <c r="AO271" i="23"/>
  <c r="AP271" i="23"/>
  <c r="AK273" i="23"/>
  <c r="AL272" i="23"/>
  <c r="AN272" i="23" s="1"/>
  <c r="AR271" i="23" l="1"/>
  <c r="AP272" i="23"/>
  <c r="AO272" i="23"/>
  <c r="AK274" i="23"/>
  <c r="AL273" i="23"/>
  <c r="AN273" i="23" s="1"/>
  <c r="AR272" i="23" l="1"/>
  <c r="AL274" i="23"/>
  <c r="AN274" i="23" s="1"/>
  <c r="AK275" i="23"/>
  <c r="AP273" i="23"/>
  <c r="AO273" i="23"/>
  <c r="AR273" i="23" l="1"/>
  <c r="AL275" i="23"/>
  <c r="AN275" i="23" s="1"/>
  <c r="AK276" i="23"/>
  <c r="AP274" i="23"/>
  <c r="AO274" i="23"/>
  <c r="AR274" i="23" l="1"/>
  <c r="AL276" i="23"/>
  <c r="AN276" i="23" s="1"/>
  <c r="AK277" i="23"/>
  <c r="AO275" i="23"/>
  <c r="AP275" i="23"/>
  <c r="AR275" i="23" l="1"/>
  <c r="AL277" i="23"/>
  <c r="AN277" i="23" s="1"/>
  <c r="AK278" i="23"/>
  <c r="AO276" i="23"/>
  <c r="AP276" i="23"/>
  <c r="AR276" i="23" l="1"/>
  <c r="AK279" i="23"/>
  <c r="AL278" i="23"/>
  <c r="AN278" i="23" s="1"/>
  <c r="AP277" i="23"/>
  <c r="AO277" i="23"/>
  <c r="AR277" i="23" l="1"/>
  <c r="AO278" i="23"/>
  <c r="AP278" i="23"/>
  <c r="AL279" i="23"/>
  <c r="AN279" i="23" s="1"/>
  <c r="AK280" i="23"/>
  <c r="AR278" i="23" l="1"/>
  <c r="AL280" i="23"/>
  <c r="AN280" i="23" s="1"/>
  <c r="AK281" i="23"/>
  <c r="AP279" i="23"/>
  <c r="AO279" i="23"/>
  <c r="AR279" i="23" l="1"/>
  <c r="AK282" i="23"/>
  <c r="AL281" i="23"/>
  <c r="AN281" i="23" s="1"/>
  <c r="AO280" i="23"/>
  <c r="AP280" i="23"/>
  <c r="AR280" i="23" l="1"/>
  <c r="AP281" i="23"/>
  <c r="AO281" i="23"/>
  <c r="AL282" i="23"/>
  <c r="AN282" i="23" s="1"/>
  <c r="AK283" i="23"/>
  <c r="AR281" i="23" l="1"/>
  <c r="AL283" i="23"/>
  <c r="AN283" i="23" s="1"/>
  <c r="AK284" i="23"/>
  <c r="AP282" i="23"/>
  <c r="AO282" i="23"/>
  <c r="AR282" i="23" l="1"/>
  <c r="AL284" i="23"/>
  <c r="AN284" i="23" s="1"/>
  <c r="AK285" i="23"/>
  <c r="AO283" i="23"/>
  <c r="AP283" i="23"/>
  <c r="AR283" i="23" l="1"/>
  <c r="AL285" i="23"/>
  <c r="AN285" i="23" s="1"/>
  <c r="AK286" i="23"/>
  <c r="AO284" i="23"/>
  <c r="AP284" i="23"/>
  <c r="AR284" i="23" l="1"/>
  <c r="AK287" i="23"/>
  <c r="AL286" i="23"/>
  <c r="AN286" i="23" s="1"/>
  <c r="AP285" i="23"/>
  <c r="AO285" i="23"/>
  <c r="AR285" i="23" l="1"/>
  <c r="AO286" i="23"/>
  <c r="AP286" i="23"/>
  <c r="AL287" i="23"/>
  <c r="AN287" i="23" s="1"/>
  <c r="AK288" i="23"/>
  <c r="AR286" i="23" l="1"/>
  <c r="AL288" i="23"/>
  <c r="AN288" i="23" s="1"/>
  <c r="AK289" i="23"/>
  <c r="AP287" i="23"/>
  <c r="AO287" i="23"/>
  <c r="AR287" i="23" l="1"/>
  <c r="AK290" i="23"/>
  <c r="AL289" i="23"/>
  <c r="AN289" i="23" s="1"/>
  <c r="AO288" i="23"/>
  <c r="AP288" i="23"/>
  <c r="AR288" i="23" l="1"/>
  <c r="AP289" i="23"/>
  <c r="AO289" i="23"/>
  <c r="AL290" i="23"/>
  <c r="AN290" i="23" s="1"/>
  <c r="AK291" i="23"/>
  <c r="AR289" i="23" l="1"/>
  <c r="AL291" i="23"/>
  <c r="AN291" i="23" s="1"/>
  <c r="AK292" i="23"/>
  <c r="AO290" i="23"/>
  <c r="AP290" i="23"/>
  <c r="AR290" i="23" l="1"/>
  <c r="AK293" i="23"/>
  <c r="AL292" i="23"/>
  <c r="AN292" i="23" s="1"/>
  <c r="AO291" i="23"/>
  <c r="AP291" i="23"/>
  <c r="AR291" i="23" l="1"/>
  <c r="AO292" i="23"/>
  <c r="AP292" i="23"/>
  <c r="AL293" i="23"/>
  <c r="AN293" i="23" s="1"/>
  <c r="AK294" i="23"/>
  <c r="AR292" i="23" l="1"/>
  <c r="AK295" i="23"/>
  <c r="AK263" i="24" s="1"/>
  <c r="AK264" i="24" s="1"/>
  <c r="AL294" i="23"/>
  <c r="AN294" i="23" s="1"/>
  <c r="AO294" i="23" s="1"/>
  <c r="AP293" i="23"/>
  <c r="AO293" i="23"/>
  <c r="AP294" i="23" l="1"/>
  <c r="AP295" i="23" s="1"/>
  <c r="AP263" i="24" s="1"/>
  <c r="AR293" i="23"/>
  <c r="AR294" i="23" s="1"/>
  <c r="AR295" i="23" s="1"/>
  <c r="AR263" i="24" s="1"/>
  <c r="AL264" i="24"/>
  <c r="AN264" i="24" s="1"/>
  <c r="AK265" i="24"/>
  <c r="AK266" i="24" l="1"/>
  <c r="AL265" i="24"/>
  <c r="AN265" i="24" s="1"/>
  <c r="AO264" i="24"/>
  <c r="AP264" i="24"/>
  <c r="AR264" i="24" s="1"/>
  <c r="AP265" i="24" l="1"/>
  <c r="AR265" i="24" s="1"/>
  <c r="AO265" i="24"/>
  <c r="AK267" i="24"/>
  <c r="AL266" i="24"/>
  <c r="AN266" i="24" s="1"/>
  <c r="AK268" i="24" l="1"/>
  <c r="AL267" i="24"/>
  <c r="AN267" i="24" s="1"/>
  <c r="AO266" i="24"/>
  <c r="AP266" i="24"/>
  <c r="AR266" i="24" s="1"/>
  <c r="AP267" i="24" l="1"/>
  <c r="AR267" i="24" s="1"/>
  <c r="AO267" i="24"/>
  <c r="AL268" i="24"/>
  <c r="AN268" i="24" s="1"/>
  <c r="AK269" i="24"/>
  <c r="AO268" i="24" l="1"/>
  <c r="AP268" i="24"/>
  <c r="AR268" i="24" s="1"/>
  <c r="AL269" i="24"/>
  <c r="AN269" i="24" s="1"/>
  <c r="AK270" i="24"/>
  <c r="AL270" i="24" l="1"/>
  <c r="AN270" i="24" s="1"/>
  <c r="AK271" i="24"/>
  <c r="AO269" i="24"/>
  <c r="AP269" i="24"/>
  <c r="AR269" i="24" s="1"/>
  <c r="AK272" i="24" l="1"/>
  <c r="AL271" i="24"/>
  <c r="AN271" i="24" s="1"/>
  <c r="AP270" i="24"/>
  <c r="AR270" i="24" s="1"/>
  <c r="AO270" i="24"/>
  <c r="AO271" i="24" l="1"/>
  <c r="AP271" i="24"/>
  <c r="AR271" i="24" s="1"/>
  <c r="AK273" i="24"/>
  <c r="AL272" i="24"/>
  <c r="AN272" i="24" s="1"/>
  <c r="AL273" i="24" l="1"/>
  <c r="AN273" i="24" s="1"/>
  <c r="AK274" i="24"/>
  <c r="AP272" i="24"/>
  <c r="AR272" i="24" s="1"/>
  <c r="AO272" i="24"/>
  <c r="AK275" i="24" l="1"/>
  <c r="AL274" i="24"/>
  <c r="AN274" i="24" s="1"/>
  <c r="AO273" i="24"/>
  <c r="AP273" i="24"/>
  <c r="AR273" i="24" s="1"/>
  <c r="AP274" i="24" l="1"/>
  <c r="AR274" i="24" s="1"/>
  <c r="AO274" i="24"/>
  <c r="AL275" i="24"/>
  <c r="AN275" i="24" s="1"/>
  <c r="AK276" i="24"/>
  <c r="AL276" i="24" l="1"/>
  <c r="AN276" i="24" s="1"/>
  <c r="AK277" i="24"/>
  <c r="AO275" i="24"/>
  <c r="AP275" i="24"/>
  <c r="AR275" i="24" s="1"/>
  <c r="AK278" i="24" l="1"/>
  <c r="AL277" i="24"/>
  <c r="AN277" i="24" s="1"/>
  <c r="AO276" i="24"/>
  <c r="AP276" i="24"/>
  <c r="AR276" i="24" s="1"/>
  <c r="AP277" i="24" l="1"/>
  <c r="AR277" i="24" s="1"/>
  <c r="AO277" i="24"/>
  <c r="AL278" i="24"/>
  <c r="AN278" i="24" s="1"/>
  <c r="AK279" i="24"/>
  <c r="AL279" i="24" l="1"/>
  <c r="AN279" i="24" s="1"/>
  <c r="AK280" i="24"/>
  <c r="AP278" i="24"/>
  <c r="AR278" i="24" s="1"/>
  <c r="AO278" i="24"/>
  <c r="AL280" i="24" l="1"/>
  <c r="AN280" i="24" s="1"/>
  <c r="AK281" i="24"/>
  <c r="AP279" i="24"/>
  <c r="AR279" i="24" s="1"/>
  <c r="AO279" i="24"/>
  <c r="AL281" i="24" l="1"/>
  <c r="AN281" i="24" s="1"/>
  <c r="AK282" i="24"/>
  <c r="AP280" i="24"/>
  <c r="AR280" i="24" s="1"/>
  <c r="AO280" i="24"/>
  <c r="AL282" i="24" l="1"/>
  <c r="AN282" i="24" s="1"/>
  <c r="AK283" i="24"/>
  <c r="AP281" i="24"/>
  <c r="AR281" i="24" s="1"/>
  <c r="AO281" i="24"/>
  <c r="AL283" i="24" l="1"/>
  <c r="AN283" i="24" s="1"/>
  <c r="AK284" i="24"/>
  <c r="AO282" i="24"/>
  <c r="AP282" i="24"/>
  <c r="AR282" i="24" s="1"/>
  <c r="AL284" i="24" l="1"/>
  <c r="AN284" i="24" s="1"/>
  <c r="AK285" i="24"/>
  <c r="AP283" i="24"/>
  <c r="AR283" i="24" s="1"/>
  <c r="AO283" i="24"/>
  <c r="AL285" i="24" l="1"/>
  <c r="AN285" i="24" s="1"/>
  <c r="AK286" i="24"/>
  <c r="AO284" i="24"/>
  <c r="AP284" i="24"/>
  <c r="AR284" i="24" s="1"/>
  <c r="AK287" i="24" l="1"/>
  <c r="AL286" i="24"/>
  <c r="AN286" i="24" s="1"/>
  <c r="AO285" i="24"/>
  <c r="AP285" i="24"/>
  <c r="AR285" i="24" s="1"/>
  <c r="AO286" i="24" l="1"/>
  <c r="AP286" i="24"/>
  <c r="AR286" i="24" s="1"/>
  <c r="AL287" i="24"/>
  <c r="AN287" i="24" s="1"/>
  <c r="AK288" i="24"/>
  <c r="AP287" i="24" l="1"/>
  <c r="AR287" i="24" s="1"/>
  <c r="AO287" i="24"/>
  <c r="AL288" i="24"/>
  <c r="AN288" i="24" s="1"/>
  <c r="AK289" i="24"/>
  <c r="AK290" i="24" l="1"/>
  <c r="AL289" i="24"/>
  <c r="AN289" i="24" s="1"/>
  <c r="AP288" i="24"/>
  <c r="AR288" i="24" s="1"/>
  <c r="AO288" i="24"/>
  <c r="AP289" i="24" l="1"/>
  <c r="AR289" i="24" s="1"/>
  <c r="AO289" i="24"/>
  <c r="AK291" i="24"/>
  <c r="AL290" i="24"/>
  <c r="AN290" i="24" s="1"/>
  <c r="AP290" i="24" l="1"/>
  <c r="AR290" i="24" s="1"/>
  <c r="AO290" i="24"/>
  <c r="AK292" i="24"/>
  <c r="AL291" i="24"/>
  <c r="AN291" i="24" s="1"/>
  <c r="AO291" i="24" l="1"/>
  <c r="AP291" i="24"/>
  <c r="AR291" i="24" s="1"/>
  <c r="AL292" i="24"/>
  <c r="AN292" i="24" s="1"/>
  <c r="AK293" i="24"/>
  <c r="AL293" i="24" l="1"/>
  <c r="AN293" i="24" s="1"/>
  <c r="AK294" i="24"/>
  <c r="AO292" i="24"/>
  <c r="AP292" i="24"/>
  <c r="AR292" i="24" s="1"/>
  <c r="AK295" i="24" l="1"/>
  <c r="AK263" i="25" s="1"/>
  <c r="AK264" i="25" s="1"/>
  <c r="AL294" i="24"/>
  <c r="AN294" i="24" s="1"/>
  <c r="AO293" i="24"/>
  <c r="AP293" i="24"/>
  <c r="AR293" i="24" s="1"/>
  <c r="AO294" i="24" l="1"/>
  <c r="AP294" i="24"/>
  <c r="AP295" i="24" s="1"/>
  <c r="AP263" i="25" s="1"/>
  <c r="AL264" i="25"/>
  <c r="AN264" i="25" s="1"/>
  <c r="AK265" i="25"/>
  <c r="AK266" i="25" l="1"/>
  <c r="AL265" i="25"/>
  <c r="AN265" i="25" s="1"/>
  <c r="AO264" i="25"/>
  <c r="AP264" i="25"/>
  <c r="AR294" i="24"/>
  <c r="AR295" i="24" s="1"/>
  <c r="AR263" i="25" s="1"/>
  <c r="AR264" i="25" l="1"/>
  <c r="AP265" i="25"/>
  <c r="AO265" i="25"/>
  <c r="AK267" i="25"/>
  <c r="AL266" i="25"/>
  <c r="AN266" i="25" s="1"/>
  <c r="AR265" i="25" l="1"/>
  <c r="AO266" i="25"/>
  <c r="AP266" i="25"/>
  <c r="AL267" i="25"/>
  <c r="AN267" i="25" s="1"/>
  <c r="AK268" i="25"/>
  <c r="AR266" i="25" l="1"/>
  <c r="AL268" i="25"/>
  <c r="AN268" i="25" s="1"/>
  <c r="AK269" i="25"/>
  <c r="AP267" i="25"/>
  <c r="AO267" i="25"/>
  <c r="AR267" i="25" l="1"/>
  <c r="AL269" i="25"/>
  <c r="AN269" i="25" s="1"/>
  <c r="AK270" i="25"/>
  <c r="AO268" i="25"/>
  <c r="AP268" i="25"/>
  <c r="AR268" i="25" l="1"/>
  <c r="AL270" i="25"/>
  <c r="AN270" i="25" s="1"/>
  <c r="AK271" i="25"/>
  <c r="AO269" i="25"/>
  <c r="AP269" i="25"/>
  <c r="AR269" i="25" l="1"/>
  <c r="AL271" i="25"/>
  <c r="AN271" i="25" s="1"/>
  <c r="AK272" i="25"/>
  <c r="AP270" i="25"/>
  <c r="AO270" i="25"/>
  <c r="AR270" i="25" l="1"/>
  <c r="AP271" i="25"/>
  <c r="AO271" i="25"/>
  <c r="AL272" i="25"/>
  <c r="AN272" i="25" s="1"/>
  <c r="AK273" i="25"/>
  <c r="AR271" i="25" l="1"/>
  <c r="AK274" i="25"/>
  <c r="AL273" i="25"/>
  <c r="AN273" i="25" s="1"/>
  <c r="AP272" i="25"/>
  <c r="AO272" i="25"/>
  <c r="AR272" i="25" l="1"/>
  <c r="AL274" i="25"/>
  <c r="AN274" i="25" s="1"/>
  <c r="AK275" i="25"/>
  <c r="AP273" i="25"/>
  <c r="AO273" i="25"/>
  <c r="AR273" i="25" l="1"/>
  <c r="AP274" i="25"/>
  <c r="AO274" i="25"/>
  <c r="AL275" i="25"/>
  <c r="AN275" i="25" s="1"/>
  <c r="AK276" i="25"/>
  <c r="AR274" i="25" l="1"/>
  <c r="AL276" i="25"/>
  <c r="AN276" i="25" s="1"/>
  <c r="AK277" i="25"/>
  <c r="AP275" i="25"/>
  <c r="AO275" i="25"/>
  <c r="AR275" i="25" l="1"/>
  <c r="AK278" i="25"/>
  <c r="AL277" i="25"/>
  <c r="AN277" i="25" s="1"/>
  <c r="AO276" i="25"/>
  <c r="AP276" i="25"/>
  <c r="AR276" i="25" l="1"/>
  <c r="AP277" i="25"/>
  <c r="AO277" i="25"/>
  <c r="AL278" i="25"/>
  <c r="AN278" i="25" s="1"/>
  <c r="AK279" i="25"/>
  <c r="AR277" i="25" l="1"/>
  <c r="AK280" i="25"/>
  <c r="AL279" i="25"/>
  <c r="AN279" i="25" s="1"/>
  <c r="AP278" i="25"/>
  <c r="AO278" i="25"/>
  <c r="AR278" i="25" l="1"/>
  <c r="AP279" i="25"/>
  <c r="AO279" i="25"/>
  <c r="AK281" i="25"/>
  <c r="AL280" i="25"/>
  <c r="AN280" i="25" s="1"/>
  <c r="AR279" i="25" l="1"/>
  <c r="AK282" i="25"/>
  <c r="AL281" i="25"/>
  <c r="AN281" i="25" s="1"/>
  <c r="AO280" i="25"/>
  <c r="AP280" i="25"/>
  <c r="AR280" i="25" l="1"/>
  <c r="AO281" i="25"/>
  <c r="AP281" i="25"/>
  <c r="AK283" i="25"/>
  <c r="AL282" i="25"/>
  <c r="AN282" i="25" s="1"/>
  <c r="AR281" i="25" l="1"/>
  <c r="AK284" i="25"/>
  <c r="AL283" i="25"/>
  <c r="AN283" i="25" s="1"/>
  <c r="AO282" i="25"/>
  <c r="AP282" i="25"/>
  <c r="AR282" i="25" l="1"/>
  <c r="AP283" i="25"/>
  <c r="AO283" i="25"/>
  <c r="AK285" i="25"/>
  <c r="AL284" i="25"/>
  <c r="AN284" i="25" s="1"/>
  <c r="AR283" i="25" l="1"/>
  <c r="AP284" i="25"/>
  <c r="AO284" i="25"/>
  <c r="AK286" i="25"/>
  <c r="AL285" i="25"/>
  <c r="AN285" i="25" s="1"/>
  <c r="AR284" i="25" l="1"/>
  <c r="AP285" i="25"/>
  <c r="AO285" i="25"/>
  <c r="AL286" i="25"/>
  <c r="AN286" i="25" s="1"/>
  <c r="AK287" i="25"/>
  <c r="AR285" i="25" l="1"/>
  <c r="AL287" i="25"/>
  <c r="AN287" i="25" s="1"/>
  <c r="AK288" i="25"/>
  <c r="AP286" i="25"/>
  <c r="AO286" i="25"/>
  <c r="AR286" i="25" l="1"/>
  <c r="AK289" i="25"/>
  <c r="AL288" i="25"/>
  <c r="AN288" i="25" s="1"/>
  <c r="AP287" i="25"/>
  <c r="AO287" i="25"/>
  <c r="AR287" i="25" l="1"/>
  <c r="AP288" i="25"/>
  <c r="AO288" i="25"/>
  <c r="AL289" i="25"/>
  <c r="AN289" i="25" s="1"/>
  <c r="AK290" i="25"/>
  <c r="AR288" i="25" l="1"/>
  <c r="AK291" i="25"/>
  <c r="AL290" i="25"/>
  <c r="AN290" i="25" s="1"/>
  <c r="AP289" i="25"/>
  <c r="AO289" i="25"/>
  <c r="AR289" i="25" l="1"/>
  <c r="AL291" i="25"/>
  <c r="AN291" i="25" s="1"/>
  <c r="AK292" i="25"/>
  <c r="AP290" i="25"/>
  <c r="AO290" i="25"/>
  <c r="AR290" i="25" l="1"/>
  <c r="AO291" i="25"/>
  <c r="AP291" i="25"/>
  <c r="AL292" i="25"/>
  <c r="AN292" i="25" s="1"/>
  <c r="AK293" i="25"/>
  <c r="AR291" i="25" l="1"/>
  <c r="AL293" i="25"/>
  <c r="AN293" i="25" s="1"/>
  <c r="AK294" i="25"/>
  <c r="AO292" i="25"/>
  <c r="AP292" i="25"/>
  <c r="AR292" i="25" l="1"/>
  <c r="AP293" i="25"/>
  <c r="AO293" i="25"/>
  <c r="AK295" i="25"/>
  <c r="AK263" i="26" s="1"/>
  <c r="AK264" i="26" s="1"/>
  <c r="AL294" i="25"/>
  <c r="AN294" i="25" s="1"/>
  <c r="AR293" i="25" l="1"/>
  <c r="AP294" i="25"/>
  <c r="AP295" i="25" s="1"/>
  <c r="AP263" i="26" s="1"/>
  <c r="AO294" i="25"/>
  <c r="AL264" i="26"/>
  <c r="AN264" i="26" s="1"/>
  <c r="AK265" i="26"/>
  <c r="AK266" i="26" l="1"/>
  <c r="AL265" i="26"/>
  <c r="AN265" i="26" s="1"/>
  <c r="AO264" i="26"/>
  <c r="AP264" i="26"/>
  <c r="AR294" i="25"/>
  <c r="AR295" i="25" s="1"/>
  <c r="AR263" i="26" s="1"/>
  <c r="AR264" i="26" l="1"/>
  <c r="AO265" i="26"/>
  <c r="AP265" i="26"/>
  <c r="AL266" i="26"/>
  <c r="AN266" i="26" s="1"/>
  <c r="AK267" i="26"/>
  <c r="AR265" i="26" l="1"/>
  <c r="AK268" i="26"/>
  <c r="AL267" i="26"/>
  <c r="AN267" i="26" s="1"/>
  <c r="AO266" i="26"/>
  <c r="AP266" i="26"/>
  <c r="AR266" i="26" l="1"/>
  <c r="AP267" i="26"/>
  <c r="AO267" i="26"/>
  <c r="AL268" i="26"/>
  <c r="AN268" i="26" s="1"/>
  <c r="AK269" i="26"/>
  <c r="AR267" i="26" l="1"/>
  <c r="AL269" i="26"/>
  <c r="AN269" i="26" s="1"/>
  <c r="AK270" i="26"/>
  <c r="AO268" i="26"/>
  <c r="AP268" i="26"/>
  <c r="AR268" i="26" l="1"/>
  <c r="AO269" i="26"/>
  <c r="AP269" i="26"/>
  <c r="AK271" i="26"/>
  <c r="AL270" i="26"/>
  <c r="AN270" i="26" s="1"/>
  <c r="AR269" i="26" l="1"/>
  <c r="AP270" i="26"/>
  <c r="AO270" i="26"/>
  <c r="AL271" i="26"/>
  <c r="AN271" i="26" s="1"/>
  <c r="AK272" i="26"/>
  <c r="AR270" i="26" l="1"/>
  <c r="AK273" i="26"/>
  <c r="AL272" i="26"/>
  <c r="AN272" i="26" s="1"/>
  <c r="AP271" i="26"/>
  <c r="AO271" i="26"/>
  <c r="AR271" i="26" l="1"/>
  <c r="AK274" i="26"/>
  <c r="AL273" i="26"/>
  <c r="AN273" i="26" s="1"/>
  <c r="AO272" i="26"/>
  <c r="AP272" i="26"/>
  <c r="AR272" i="26" l="1"/>
  <c r="AP273" i="26"/>
  <c r="AO273" i="26"/>
  <c r="AK275" i="26"/>
  <c r="AL274" i="26"/>
  <c r="AN274" i="26" s="1"/>
  <c r="AR273" i="26" l="1"/>
  <c r="AO274" i="26"/>
  <c r="AP274" i="26"/>
  <c r="AL275" i="26"/>
  <c r="AN275" i="26" s="1"/>
  <c r="AK276" i="26"/>
  <c r="AR274" i="26" l="1"/>
  <c r="AL276" i="26"/>
  <c r="AN276" i="26" s="1"/>
  <c r="AK277" i="26"/>
  <c r="AO275" i="26"/>
  <c r="AP275" i="26"/>
  <c r="AR275" i="26" l="1"/>
  <c r="AL277" i="26"/>
  <c r="AN277" i="26" s="1"/>
  <c r="AK278" i="26"/>
  <c r="AP276" i="26"/>
  <c r="AO276" i="26"/>
  <c r="AR276" i="26" l="1"/>
  <c r="AP277" i="26"/>
  <c r="AO277" i="26"/>
  <c r="AL278" i="26"/>
  <c r="AN278" i="26" s="1"/>
  <c r="AK279" i="26"/>
  <c r="AR277" i="26" l="1"/>
  <c r="AK280" i="26"/>
  <c r="AL279" i="26"/>
  <c r="AN279" i="26" s="1"/>
  <c r="AP278" i="26"/>
  <c r="AO278" i="26"/>
  <c r="AR278" i="26" l="1"/>
  <c r="AP279" i="26"/>
  <c r="AO279" i="26"/>
  <c r="AK281" i="26"/>
  <c r="AL280" i="26"/>
  <c r="AN280" i="26" s="1"/>
  <c r="AR279" i="26" l="1"/>
  <c r="AP280" i="26"/>
  <c r="AO280" i="26"/>
  <c r="AL281" i="26"/>
  <c r="AN281" i="26" s="1"/>
  <c r="AK282" i="26"/>
  <c r="AR280" i="26" l="1"/>
  <c r="AL282" i="26"/>
  <c r="AN282" i="26" s="1"/>
  <c r="AK283" i="26"/>
  <c r="AP281" i="26"/>
  <c r="AO281" i="26"/>
  <c r="AR281" i="26" l="1"/>
  <c r="AK284" i="26"/>
  <c r="AL283" i="26"/>
  <c r="AN283" i="26" s="1"/>
  <c r="AO282" i="26"/>
  <c r="AP282" i="26"/>
  <c r="AR282" i="26" l="1"/>
  <c r="AK285" i="26"/>
  <c r="AL284" i="26"/>
  <c r="AN284" i="26" s="1"/>
  <c r="AP283" i="26"/>
  <c r="AO283" i="26"/>
  <c r="AR283" i="26" l="1"/>
  <c r="AK286" i="26"/>
  <c r="AL285" i="26"/>
  <c r="AN285" i="26" s="1"/>
  <c r="AP284" i="26"/>
  <c r="AO284" i="26"/>
  <c r="AR284" i="26" l="1"/>
  <c r="AO285" i="26"/>
  <c r="AP285" i="26"/>
  <c r="AL286" i="26"/>
  <c r="AN286" i="26" s="1"/>
  <c r="AK287" i="26"/>
  <c r="AR285" i="26" l="1"/>
  <c r="AL287" i="26"/>
  <c r="AN287" i="26" s="1"/>
  <c r="AK288" i="26"/>
  <c r="AP286" i="26"/>
  <c r="AO286" i="26"/>
  <c r="AR286" i="26" l="1"/>
  <c r="AK289" i="26"/>
  <c r="AL288" i="26"/>
  <c r="AN288" i="26" s="1"/>
  <c r="AP287" i="26"/>
  <c r="AO287" i="26"/>
  <c r="AR287" i="26" l="1"/>
  <c r="AO288" i="26"/>
  <c r="AP288" i="26"/>
  <c r="AK290" i="26"/>
  <c r="AL289" i="26"/>
  <c r="AN289" i="26" s="1"/>
  <c r="AR288" i="26" l="1"/>
  <c r="AP289" i="26"/>
  <c r="AO289" i="26"/>
  <c r="AL290" i="26"/>
  <c r="AN290" i="26" s="1"/>
  <c r="AK291" i="26"/>
  <c r="AR289" i="26" l="1"/>
  <c r="AK292" i="26"/>
  <c r="AL291" i="26"/>
  <c r="AN291" i="26" s="1"/>
  <c r="AP290" i="26"/>
  <c r="AO290" i="26"/>
  <c r="AR290" i="26" l="1"/>
  <c r="AP291" i="26"/>
  <c r="AO291" i="26"/>
  <c r="AL292" i="26"/>
  <c r="AN292" i="26" s="1"/>
  <c r="AK293" i="26"/>
  <c r="AR291" i="26" l="1"/>
  <c r="AK294" i="26"/>
  <c r="AL293" i="26"/>
  <c r="AN293" i="26" s="1"/>
  <c r="AP292" i="26"/>
  <c r="AO292" i="26"/>
  <c r="AR292" i="26" l="1"/>
  <c r="AP293" i="26"/>
  <c r="AP294" i="26" s="1"/>
  <c r="AP295" i="26" s="1"/>
  <c r="AP263" i="27" s="1"/>
  <c r="AO293" i="26"/>
  <c r="AK295" i="26"/>
  <c r="AK263" i="27" s="1"/>
  <c r="AK264" i="27" s="1"/>
  <c r="AL294" i="26"/>
  <c r="AN294" i="26" s="1"/>
  <c r="AO294" i="26" s="1"/>
  <c r="AK265" i="27" l="1"/>
  <c r="AL264" i="27"/>
  <c r="AN264" i="27" s="1"/>
  <c r="AR293" i="26"/>
  <c r="AR294" i="26" s="1"/>
  <c r="AR295" i="26" s="1"/>
  <c r="AR263" i="27" s="1"/>
  <c r="AP264" i="27" l="1"/>
  <c r="AR264" i="27" s="1"/>
  <c r="AO264" i="27"/>
  <c r="AL265" i="27"/>
  <c r="AN265" i="27" s="1"/>
  <c r="AK266" i="27"/>
  <c r="AP265" i="27" l="1"/>
  <c r="AR265" i="27" s="1"/>
  <c r="AO265" i="27"/>
  <c r="AL266" i="27"/>
  <c r="AN266" i="27" s="1"/>
  <c r="AK267" i="27"/>
  <c r="AL267" i="27" l="1"/>
  <c r="AN267" i="27" s="1"/>
  <c r="AK268" i="27"/>
  <c r="AP266" i="27"/>
  <c r="AR266" i="27" s="1"/>
  <c r="AO266" i="27"/>
  <c r="AK269" i="27" l="1"/>
  <c r="AL268" i="27"/>
  <c r="AN268" i="27" s="1"/>
  <c r="AO267" i="27"/>
  <c r="AP267" i="27"/>
  <c r="AR267" i="27" s="1"/>
  <c r="AP268" i="27" l="1"/>
  <c r="AR268" i="27" s="1"/>
  <c r="AO268" i="27"/>
  <c r="AL269" i="27"/>
  <c r="AN269" i="27" s="1"/>
  <c r="AK270" i="27"/>
  <c r="AO269" i="27" l="1"/>
  <c r="AP269" i="27"/>
  <c r="AR269" i="27" s="1"/>
  <c r="AL270" i="27"/>
  <c r="AN270" i="27" s="1"/>
  <c r="AK271" i="27"/>
  <c r="AO270" i="27" l="1"/>
  <c r="AP270" i="27"/>
  <c r="AR270" i="27" s="1"/>
  <c r="AL271" i="27"/>
  <c r="AN271" i="27" s="1"/>
  <c r="AK272" i="27"/>
  <c r="AP271" i="27" l="1"/>
  <c r="AR271" i="27" s="1"/>
  <c r="AO271" i="27"/>
  <c r="AK273" i="27"/>
  <c r="AL272" i="27"/>
  <c r="AN272" i="27" s="1"/>
  <c r="AL273" i="27" l="1"/>
  <c r="AN273" i="27" s="1"/>
  <c r="AK274" i="27"/>
  <c r="AO272" i="27"/>
  <c r="AP272" i="27"/>
  <c r="AR272" i="27" s="1"/>
  <c r="AK275" i="27" l="1"/>
  <c r="AL274" i="27"/>
  <c r="AN274" i="27" s="1"/>
  <c r="AP273" i="27"/>
  <c r="AR273" i="27" s="1"/>
  <c r="AO273" i="27"/>
  <c r="AP274" i="27" l="1"/>
  <c r="AR274" i="27" s="1"/>
  <c r="AO274" i="27"/>
  <c r="AL275" i="27"/>
  <c r="AN275" i="27" s="1"/>
  <c r="AK276" i="27"/>
  <c r="AP275" i="27" l="1"/>
  <c r="AR275" i="27" s="1"/>
  <c r="AO275" i="27"/>
  <c r="AL276" i="27"/>
  <c r="AN276" i="27" s="1"/>
  <c r="AK277" i="27"/>
  <c r="AK278" i="27" l="1"/>
  <c r="AL277" i="27"/>
  <c r="AN277" i="27" s="1"/>
  <c r="AP276" i="27"/>
  <c r="AR276" i="27" s="1"/>
  <c r="AO276" i="27"/>
  <c r="AO277" i="27" l="1"/>
  <c r="AP277" i="27"/>
  <c r="AR277" i="27" s="1"/>
  <c r="AK279" i="27"/>
  <c r="AL278" i="27"/>
  <c r="AN278" i="27" s="1"/>
  <c r="AL279" i="27" l="1"/>
  <c r="AN279" i="27" s="1"/>
  <c r="AK280" i="27"/>
  <c r="AP278" i="27"/>
  <c r="AR278" i="27" s="1"/>
  <c r="AO278" i="27"/>
  <c r="AK281" i="27" l="1"/>
  <c r="AL280" i="27"/>
  <c r="AN280" i="27" s="1"/>
  <c r="AP279" i="27"/>
  <c r="AR279" i="27" s="1"/>
  <c r="AO279" i="27"/>
  <c r="AP280" i="27" l="1"/>
  <c r="AR280" i="27" s="1"/>
  <c r="AO280" i="27"/>
  <c r="AL281" i="27"/>
  <c r="AN281" i="27" s="1"/>
  <c r="AK282" i="27"/>
  <c r="AL282" i="27" l="1"/>
  <c r="AN282" i="27" s="1"/>
  <c r="AK283" i="27"/>
  <c r="AO281" i="27"/>
  <c r="AP281" i="27"/>
  <c r="AR281" i="27" s="1"/>
  <c r="AK284" i="27" l="1"/>
  <c r="AL283" i="27"/>
  <c r="AN283" i="27" s="1"/>
  <c r="AO282" i="27"/>
  <c r="AP282" i="27"/>
  <c r="AR282" i="27" s="1"/>
  <c r="AO283" i="27" l="1"/>
  <c r="AP283" i="27"/>
  <c r="AR283" i="27" s="1"/>
  <c r="AL284" i="27"/>
  <c r="AN284" i="27" s="1"/>
  <c r="AK285" i="27"/>
  <c r="AP284" i="27" l="1"/>
  <c r="AR284" i="27" s="1"/>
  <c r="AO284" i="27"/>
  <c r="AL285" i="27"/>
  <c r="AN285" i="27" s="1"/>
  <c r="AK286" i="27"/>
  <c r="AK287" i="27" l="1"/>
  <c r="AL286" i="27"/>
  <c r="AN286" i="27" s="1"/>
  <c r="AO285" i="27"/>
  <c r="AP285" i="27"/>
  <c r="AR285" i="27" s="1"/>
  <c r="AO286" i="27" l="1"/>
  <c r="AP286" i="27"/>
  <c r="AR286" i="27" s="1"/>
  <c r="AK288" i="27"/>
  <c r="AL287" i="27"/>
  <c r="AN287" i="27" s="1"/>
  <c r="AO287" i="27" l="1"/>
  <c r="AP287" i="27"/>
  <c r="AR287" i="27" s="1"/>
  <c r="AL288" i="27"/>
  <c r="AN288" i="27" s="1"/>
  <c r="AK289" i="27"/>
  <c r="AP288" i="27" l="1"/>
  <c r="AR288" i="27" s="1"/>
  <c r="AO288" i="27"/>
  <c r="AL289" i="27"/>
  <c r="AN289" i="27" s="1"/>
  <c r="AK290" i="27"/>
  <c r="AL290" i="27" l="1"/>
  <c r="AN290" i="27" s="1"/>
  <c r="AK291" i="27"/>
  <c r="AO289" i="27"/>
  <c r="AP289" i="27"/>
  <c r="AR289" i="27" s="1"/>
  <c r="AK292" i="27" l="1"/>
  <c r="AL291" i="27"/>
  <c r="AN291" i="27" s="1"/>
  <c r="AP290" i="27"/>
  <c r="AR290" i="27" s="1"/>
  <c r="AO290" i="27"/>
  <c r="AP291" i="27" l="1"/>
  <c r="AR291" i="27" s="1"/>
  <c r="AO291" i="27"/>
  <c r="AL292" i="27"/>
  <c r="AN292" i="27" s="1"/>
  <c r="AK293" i="27"/>
  <c r="AL293" i="27" l="1"/>
  <c r="AN293" i="27" s="1"/>
  <c r="AK294" i="27"/>
  <c r="AP292" i="27"/>
  <c r="AR292" i="27" s="1"/>
  <c r="AO292" i="27"/>
  <c r="AL294" i="27" l="1"/>
  <c r="AN294" i="27" s="1"/>
  <c r="AK295" i="27"/>
  <c r="AK263" i="28" s="1"/>
  <c r="AK264" i="28" s="1"/>
  <c r="AP293" i="27"/>
  <c r="AR293" i="27" s="1"/>
  <c r="AO293" i="27"/>
  <c r="AK265" i="28" l="1"/>
  <c r="AL264" i="28"/>
  <c r="AN264" i="28" s="1"/>
  <c r="AP294" i="27"/>
  <c r="AP295" i="27" s="1"/>
  <c r="AP263" i="28" s="1"/>
  <c r="AO294" i="27"/>
  <c r="AL265" i="28" l="1"/>
  <c r="AN265" i="28" s="1"/>
  <c r="AK266" i="28"/>
  <c r="AP264" i="28"/>
  <c r="AO264" i="28"/>
  <c r="AR294" i="27"/>
  <c r="AR295" i="27" s="1"/>
  <c r="AR263" i="28" s="1"/>
  <c r="AR264" i="28" l="1"/>
  <c r="AL266" i="28"/>
  <c r="AN266" i="28" s="1"/>
  <c r="AK267" i="28"/>
  <c r="AP265" i="28"/>
  <c r="AO265" i="28"/>
  <c r="AR265" i="28" l="1"/>
  <c r="AK268" i="28"/>
  <c r="AL267" i="28"/>
  <c r="AN267" i="28" s="1"/>
  <c r="AP266" i="28"/>
  <c r="AO266" i="28"/>
  <c r="AR266" i="28" l="1"/>
  <c r="AP267" i="28"/>
  <c r="AO267" i="28"/>
  <c r="AL268" i="28"/>
  <c r="AN268" i="28" s="1"/>
  <c r="AK269" i="28"/>
  <c r="AR267" i="28" l="1"/>
  <c r="AK270" i="28"/>
  <c r="AL269" i="28"/>
  <c r="AN269" i="28" s="1"/>
  <c r="AO268" i="28"/>
  <c r="AP268" i="28"/>
  <c r="AR268" i="28" l="1"/>
  <c r="AL270" i="28"/>
  <c r="AN270" i="28" s="1"/>
  <c r="AK271" i="28"/>
  <c r="AP269" i="28"/>
  <c r="AO269" i="28"/>
  <c r="AR269" i="28" l="1"/>
  <c r="AP270" i="28"/>
  <c r="AO270" i="28"/>
  <c r="AK272" i="28"/>
  <c r="AL271" i="28"/>
  <c r="AN271" i="28" s="1"/>
  <c r="AR270" i="28" l="1"/>
  <c r="AO271" i="28"/>
  <c r="AP271" i="28"/>
  <c r="AL272" i="28"/>
  <c r="AN272" i="28" s="1"/>
  <c r="AK273" i="28"/>
  <c r="AR271" i="28" l="1"/>
  <c r="AK274" i="28"/>
  <c r="AL273" i="28"/>
  <c r="AN273" i="28" s="1"/>
  <c r="AP272" i="28"/>
  <c r="AO272" i="28"/>
  <c r="AR272" i="28" l="1"/>
  <c r="AP273" i="28"/>
  <c r="AO273" i="28"/>
  <c r="AL274" i="28"/>
  <c r="AN274" i="28" s="1"/>
  <c r="AK275" i="28"/>
  <c r="AR273" i="28" l="1"/>
  <c r="AK276" i="28"/>
  <c r="AL275" i="28"/>
  <c r="AN275" i="28" s="1"/>
  <c r="AP274" i="28"/>
  <c r="AO274" i="28"/>
  <c r="AR274" i="28" l="1"/>
  <c r="AP275" i="28"/>
  <c r="AO275" i="28"/>
  <c r="AK277" i="28"/>
  <c r="AL276" i="28"/>
  <c r="AN276" i="28" s="1"/>
  <c r="AR275" i="28" l="1"/>
  <c r="AP276" i="28"/>
  <c r="AO276" i="28"/>
  <c r="AL277" i="28"/>
  <c r="AN277" i="28" s="1"/>
  <c r="AK278" i="28"/>
  <c r="AR276" i="28" l="1"/>
  <c r="AL278" i="28"/>
  <c r="AN278" i="28" s="1"/>
  <c r="AK279" i="28"/>
  <c r="AP277" i="28"/>
  <c r="AO277" i="28"/>
  <c r="AR277" i="28" l="1"/>
  <c r="AP278" i="28"/>
  <c r="AO278" i="28"/>
  <c r="AK280" i="28"/>
  <c r="AL279" i="28"/>
  <c r="AN279" i="28" s="1"/>
  <c r="AR278" i="28" l="1"/>
  <c r="AP279" i="28"/>
  <c r="AO279" i="28"/>
  <c r="AL280" i="28"/>
  <c r="AN280" i="28" s="1"/>
  <c r="AK281" i="28"/>
  <c r="AR279" i="28" l="1"/>
  <c r="AL281" i="28"/>
  <c r="AN281" i="28" s="1"/>
  <c r="AK282" i="28"/>
  <c r="AP280" i="28"/>
  <c r="AO280" i="28"/>
  <c r="AR280" i="28" l="1"/>
  <c r="AL282" i="28"/>
  <c r="AN282" i="28" s="1"/>
  <c r="AK283" i="28"/>
  <c r="AO281" i="28"/>
  <c r="AP281" i="28"/>
  <c r="AR281" i="28" l="1"/>
  <c r="AL283" i="28"/>
  <c r="AN283" i="28" s="1"/>
  <c r="AK284" i="28"/>
  <c r="AO282" i="28"/>
  <c r="AP282" i="28"/>
  <c r="AR282" i="28" l="1"/>
  <c r="AL284" i="28"/>
  <c r="AN284" i="28" s="1"/>
  <c r="AK285" i="28"/>
  <c r="AO283" i="28"/>
  <c r="AP283" i="28"/>
  <c r="AR283" i="28" l="1"/>
  <c r="AP284" i="28"/>
  <c r="AO284" i="28"/>
  <c r="AL285" i="28"/>
  <c r="AN285" i="28" s="1"/>
  <c r="AK286" i="28"/>
  <c r="AR284" i="28" l="1"/>
  <c r="AK287" i="28"/>
  <c r="AL286" i="28"/>
  <c r="AN286" i="28" s="1"/>
  <c r="AO285" i="28"/>
  <c r="AP285" i="28"/>
  <c r="AR285" i="28" l="1"/>
  <c r="AO286" i="28"/>
  <c r="AP286" i="28"/>
  <c r="AL287" i="28"/>
  <c r="AN287" i="28" s="1"/>
  <c r="AK288" i="28"/>
  <c r="AR286" i="28" l="1"/>
  <c r="AL288" i="28"/>
  <c r="AN288" i="28" s="1"/>
  <c r="AK289" i="28"/>
  <c r="AP287" i="28"/>
  <c r="AO287" i="28"/>
  <c r="AR287" i="28" l="1"/>
  <c r="AO288" i="28"/>
  <c r="AP288" i="28"/>
  <c r="AL289" i="28"/>
  <c r="AN289" i="28" s="1"/>
  <c r="AK290" i="28"/>
  <c r="AR288" i="28" l="1"/>
  <c r="AK291" i="28"/>
  <c r="AL290" i="28"/>
  <c r="AN290" i="28" s="1"/>
  <c r="AP289" i="28"/>
  <c r="AO289" i="28"/>
  <c r="AR289" i="28" l="1"/>
  <c r="AL291" i="28"/>
  <c r="AN291" i="28" s="1"/>
  <c r="AK292" i="28"/>
  <c r="AP290" i="28"/>
  <c r="AO290" i="28"/>
  <c r="AR290" i="28" l="1"/>
  <c r="AK293" i="28"/>
  <c r="AL292" i="28"/>
  <c r="AN292" i="28" s="1"/>
  <c r="AP291" i="28"/>
  <c r="AO291" i="28"/>
  <c r="AR291" i="28" l="1"/>
  <c r="AL293" i="28"/>
  <c r="AN293" i="28" s="1"/>
  <c r="AK294" i="28"/>
  <c r="AO292" i="28"/>
  <c r="AP292" i="28"/>
  <c r="AR292" i="28" l="1"/>
  <c r="AO293" i="28"/>
  <c r="AP293" i="28"/>
  <c r="AP294" i="28" s="1"/>
  <c r="AP295" i="28" s="1"/>
  <c r="AP263" i="29" s="1"/>
  <c r="AL294" i="28"/>
  <c r="AN294" i="28" s="1"/>
  <c r="AO294" i="28" s="1"/>
  <c r="AK295" i="28"/>
  <c r="AK263" i="29" s="1"/>
  <c r="AK264" i="29" s="1"/>
  <c r="AK265" i="29" l="1"/>
  <c r="AL264" i="29"/>
  <c r="AN264" i="29" s="1"/>
  <c r="AR293" i="28"/>
  <c r="AR294" i="28" s="1"/>
  <c r="AR295" i="28" s="1"/>
  <c r="AR263" i="29" s="1"/>
  <c r="AP264" i="29" l="1"/>
  <c r="AR264" i="29" s="1"/>
  <c r="AO264" i="29"/>
  <c r="AL265" i="29"/>
  <c r="AN265" i="29" s="1"/>
  <c r="AK266" i="29"/>
  <c r="AL266" i="29" l="1"/>
  <c r="AN266" i="29" s="1"/>
  <c r="AK267" i="29"/>
  <c r="AP265" i="29"/>
  <c r="AR265" i="29" s="1"/>
  <c r="AO265" i="29"/>
  <c r="AL267" i="29" l="1"/>
  <c r="AN267" i="29" s="1"/>
  <c r="AK268" i="29"/>
  <c r="AO266" i="29"/>
  <c r="AP266" i="29"/>
  <c r="AR266" i="29" s="1"/>
  <c r="AL268" i="29" l="1"/>
  <c r="AN268" i="29" s="1"/>
  <c r="AK269" i="29"/>
  <c r="AP267" i="29"/>
  <c r="AR267" i="29" s="1"/>
  <c r="AO267" i="29"/>
  <c r="AK270" i="29" l="1"/>
  <c r="AL269" i="29"/>
  <c r="AN269" i="29" s="1"/>
  <c r="AP268" i="29"/>
  <c r="AR268" i="29" s="1"/>
  <c r="AO268" i="29"/>
  <c r="AO269" i="29" l="1"/>
  <c r="AP269" i="29"/>
  <c r="AR269" i="29" s="1"/>
  <c r="AL270" i="29"/>
  <c r="AN270" i="29" s="1"/>
  <c r="AK271" i="29"/>
  <c r="AO270" i="29" l="1"/>
  <c r="AP270" i="29"/>
  <c r="AR270" i="29" s="1"/>
  <c r="AK272" i="29"/>
  <c r="AL271" i="29"/>
  <c r="AN271" i="29" s="1"/>
  <c r="AL272" i="29" l="1"/>
  <c r="AN272" i="29" s="1"/>
  <c r="AK273" i="29"/>
  <c r="AP271" i="29"/>
  <c r="AR271" i="29" s="1"/>
  <c r="AO271" i="29"/>
  <c r="AL273" i="29" l="1"/>
  <c r="AN273" i="29" s="1"/>
  <c r="AK274" i="29"/>
  <c r="AO272" i="29"/>
  <c r="AP272" i="29"/>
  <c r="AR272" i="29" s="1"/>
  <c r="AL274" i="29" l="1"/>
  <c r="AN274" i="29" s="1"/>
  <c r="AK275" i="29"/>
  <c r="AP273" i="29"/>
  <c r="AR273" i="29" s="1"/>
  <c r="AO273" i="29"/>
  <c r="AL275" i="29" l="1"/>
  <c r="AN275" i="29" s="1"/>
  <c r="AK276" i="29"/>
  <c r="AP274" i="29"/>
  <c r="AR274" i="29" s="1"/>
  <c r="AO274" i="29"/>
  <c r="AL276" i="29" l="1"/>
  <c r="AN276" i="29" s="1"/>
  <c r="AK277" i="29"/>
  <c r="AP275" i="29"/>
  <c r="AR275" i="29" s="1"/>
  <c r="AO275" i="29"/>
  <c r="AL277" i="29" l="1"/>
  <c r="AN277" i="29" s="1"/>
  <c r="AK278" i="29"/>
  <c r="AO276" i="29"/>
  <c r="AP276" i="29"/>
  <c r="AR276" i="29" s="1"/>
  <c r="AL278" i="29" l="1"/>
  <c r="AN278" i="29" s="1"/>
  <c r="AK279" i="29"/>
  <c r="AO277" i="29"/>
  <c r="AP277" i="29"/>
  <c r="AR277" i="29" s="1"/>
  <c r="AL279" i="29" l="1"/>
  <c r="AN279" i="29" s="1"/>
  <c r="AK280" i="29"/>
  <c r="AO278" i="29"/>
  <c r="AP278" i="29"/>
  <c r="AR278" i="29" s="1"/>
  <c r="AL280" i="29" l="1"/>
  <c r="AN280" i="29" s="1"/>
  <c r="AK281" i="29"/>
  <c r="AO279" i="29"/>
  <c r="AP279" i="29"/>
  <c r="AR279" i="29" s="1"/>
  <c r="AL281" i="29" l="1"/>
  <c r="AN281" i="29" s="1"/>
  <c r="AK282" i="29"/>
  <c r="AO280" i="29"/>
  <c r="AP280" i="29"/>
  <c r="AR280" i="29" s="1"/>
  <c r="AK283" i="29" l="1"/>
  <c r="AL282" i="29"/>
  <c r="AN282" i="29" s="1"/>
  <c r="AP281" i="29"/>
  <c r="AR281" i="29" s="1"/>
  <c r="AO281" i="29"/>
  <c r="AP282" i="29" l="1"/>
  <c r="AR282" i="29" s="1"/>
  <c r="AO282" i="29"/>
  <c r="AK284" i="29"/>
  <c r="AL283" i="29"/>
  <c r="AN283" i="29" s="1"/>
  <c r="AP283" i="29" l="1"/>
  <c r="AR283" i="29" s="1"/>
  <c r="AO283" i="29"/>
  <c r="AL284" i="29"/>
  <c r="AN284" i="29" s="1"/>
  <c r="AK285" i="29"/>
  <c r="AP284" i="29" l="1"/>
  <c r="AR284" i="29" s="1"/>
  <c r="AO284" i="29"/>
  <c r="AK286" i="29"/>
  <c r="AL285" i="29"/>
  <c r="AN285" i="29" s="1"/>
  <c r="AL286" i="29" l="1"/>
  <c r="AN286" i="29" s="1"/>
  <c r="AK287" i="29"/>
  <c r="AO285" i="29"/>
  <c r="AP285" i="29"/>
  <c r="AR285" i="29" s="1"/>
  <c r="AK288" i="29" l="1"/>
  <c r="AL287" i="29"/>
  <c r="AN287" i="29" s="1"/>
  <c r="AP286" i="29"/>
  <c r="AR286" i="29" s="1"/>
  <c r="AO286" i="29"/>
  <c r="AP287" i="29" l="1"/>
  <c r="AR287" i="29" s="1"/>
  <c r="AO287" i="29"/>
  <c r="AK289" i="29"/>
  <c r="AL288" i="29"/>
  <c r="AN288" i="29" s="1"/>
  <c r="AP288" i="29" l="1"/>
  <c r="AR288" i="29" s="1"/>
  <c r="AO288" i="29"/>
  <c r="AL289" i="29"/>
  <c r="AN289" i="29" s="1"/>
  <c r="AK290" i="29"/>
  <c r="AK291" i="29" l="1"/>
  <c r="AL290" i="29"/>
  <c r="AN290" i="29" s="1"/>
  <c r="AP289" i="29"/>
  <c r="AR289" i="29" s="1"/>
  <c r="AO289" i="29"/>
  <c r="AP290" i="29" l="1"/>
  <c r="AR290" i="29" s="1"/>
  <c r="AO290" i="29"/>
  <c r="AL291" i="29"/>
  <c r="AN291" i="29" s="1"/>
  <c r="AK292" i="29"/>
  <c r="AK293" i="29" l="1"/>
  <c r="AL292" i="29"/>
  <c r="AN292" i="29" s="1"/>
  <c r="AP291" i="29"/>
  <c r="AR291" i="29" s="1"/>
  <c r="AO291" i="29"/>
  <c r="AO292" i="29" l="1"/>
  <c r="AP292" i="29"/>
  <c r="AR292" i="29" s="1"/>
  <c r="AL293" i="29"/>
  <c r="AN293" i="29" s="1"/>
  <c r="AK294" i="29"/>
  <c r="AL294" i="29" l="1"/>
  <c r="AN294" i="29" s="1"/>
  <c r="AK295" i="29"/>
  <c r="C18" i="15" s="1"/>
  <c r="AP293" i="29"/>
  <c r="AR293" i="29" s="1"/>
  <c r="AO293" i="29"/>
  <c r="AP294" i="29" l="1"/>
  <c r="AO294" i="29"/>
  <c r="AR294" i="29" l="1"/>
  <c r="AR295" i="29" s="1"/>
  <c r="AP295" i="29"/>
  <c r="C19" i="15" s="1"/>
  <c r="B32" i="9" l="1"/>
  <c r="B33" i="9" s="1"/>
  <c r="C20" i="15"/>
  <c r="D35" i="9" l="1"/>
  <c r="C35" i="9"/>
  <c r="B35" i="9" s="1"/>
  <c r="V280" i="19" l="1"/>
  <c r="AE280" i="19" s="1"/>
  <c r="V274" i="28"/>
  <c r="AE274" i="28" s="1"/>
  <c r="V280" i="25"/>
  <c r="AE280" i="25" s="1"/>
  <c r="V266" i="21"/>
  <c r="AE266" i="21" s="1"/>
  <c r="V268" i="29"/>
  <c r="AE268" i="29" s="1"/>
  <c r="V268" i="20"/>
  <c r="AE268" i="20" s="1"/>
  <c r="V286" i="26"/>
  <c r="AE286" i="26" s="1"/>
  <c r="V266" i="20"/>
  <c r="AE266" i="20" s="1"/>
  <c r="V278" i="28"/>
  <c r="AE278" i="28" s="1"/>
  <c r="V284" i="25"/>
  <c r="AE284" i="25" s="1"/>
  <c r="V270" i="21"/>
  <c r="AE270" i="21" s="1"/>
  <c r="V272" i="29"/>
  <c r="AE272" i="29" s="1"/>
  <c r="V272" i="28"/>
  <c r="AE272" i="28" s="1"/>
  <c r="V292" i="26"/>
  <c r="AE292" i="26" s="1"/>
  <c r="V273" i="22"/>
  <c r="AE273" i="22" s="1"/>
  <c r="V275" i="25"/>
  <c r="AE275" i="25" s="1"/>
  <c r="V290" i="19"/>
  <c r="AE290" i="19" s="1"/>
  <c r="I402" i="26"/>
  <c r="V283" i="24"/>
  <c r="AE283" i="24" s="1"/>
  <c r="V282" i="24"/>
  <c r="AE282" i="24" s="1"/>
  <c r="W20" i="9"/>
  <c r="V283" i="19"/>
  <c r="AE283" i="19" s="1"/>
  <c r="I385" i="23"/>
  <c r="V278" i="22"/>
  <c r="AE278" i="22" s="1"/>
  <c r="V277" i="27"/>
  <c r="AE277" i="27" s="1"/>
  <c r="V286" i="23"/>
  <c r="AE286" i="23" s="1"/>
  <c r="O20" i="9"/>
  <c r="V287" i="28"/>
  <c r="AE287" i="28" s="1"/>
  <c r="V276" i="3"/>
  <c r="AE276" i="3" s="1"/>
  <c r="V270" i="27"/>
  <c r="AE270" i="27" s="1"/>
  <c r="V283" i="27"/>
  <c r="AE283" i="27" s="1"/>
  <c r="I385" i="24"/>
  <c r="B25" i="9"/>
  <c r="AT263" i="3" s="1"/>
  <c r="I202" i="3" s="1"/>
  <c r="V285" i="29"/>
  <c r="AE285" i="29" s="1"/>
  <c r="V287" i="26"/>
  <c r="AE287" i="26" s="1"/>
  <c r="V291" i="3"/>
  <c r="AE291" i="3" s="1"/>
  <c r="V273" i="24"/>
  <c r="AE273" i="24" s="1"/>
  <c r="V280" i="24"/>
  <c r="AE280" i="24" s="1"/>
  <c r="V19" i="9"/>
  <c r="V271" i="23"/>
  <c r="AE271" i="23" s="1"/>
  <c r="V284" i="28"/>
  <c r="AE284" i="28" s="1"/>
  <c r="V290" i="25"/>
  <c r="AE290" i="25" s="1"/>
  <c r="V278" i="3"/>
  <c r="AE278" i="3" s="1"/>
  <c r="V276" i="23"/>
  <c r="AE276" i="23" s="1"/>
  <c r="X20" i="9"/>
  <c r="V277" i="28"/>
  <c r="AE277" i="28" s="1"/>
  <c r="V291" i="22"/>
  <c r="AE291" i="22" s="1"/>
  <c r="V283" i="25"/>
  <c r="AE283" i="25" s="1"/>
  <c r="V283" i="20"/>
  <c r="AE283" i="20" s="1"/>
  <c r="V273" i="3"/>
  <c r="AE273" i="3" s="1"/>
  <c r="V279" i="21"/>
  <c r="AE279" i="21" s="1"/>
  <c r="P410" i="25"/>
  <c r="V280" i="27"/>
  <c r="AE280" i="27" s="1"/>
  <c r="V287" i="20"/>
  <c r="AE287" i="20" s="1"/>
  <c r="I385" i="25"/>
  <c r="V284" i="22"/>
  <c r="AE284" i="22" s="1"/>
  <c r="I385" i="27"/>
  <c r="V285" i="23"/>
  <c r="AE285" i="23" s="1"/>
  <c r="V277" i="29"/>
  <c r="AE277" i="29" s="1"/>
  <c r="V281" i="26"/>
  <c r="AE281" i="26" s="1"/>
  <c r="V267" i="22"/>
  <c r="AE267" i="22" s="1"/>
  <c r="I385" i="21"/>
  <c r="V276" i="20"/>
  <c r="AE276" i="20" s="1"/>
  <c r="V285" i="27"/>
  <c r="AE285" i="27" s="1"/>
  <c r="V289" i="23"/>
  <c r="AE289" i="23" s="1"/>
  <c r="V281" i="29"/>
  <c r="AE281" i="29" s="1"/>
  <c r="V285" i="26"/>
  <c r="AE285" i="26" s="1"/>
  <c r="V271" i="19"/>
  <c r="AE271" i="19" s="1"/>
  <c r="T19" i="9"/>
  <c r="V284" i="20"/>
  <c r="AE284" i="20" s="1"/>
  <c r="V289" i="27"/>
  <c r="AE289" i="27" s="1"/>
  <c r="V279" i="20"/>
  <c r="AE279" i="20" s="1"/>
  <c r="V282" i="28"/>
  <c r="AE282" i="28" s="1"/>
  <c r="V288" i="25"/>
  <c r="AE288" i="25" s="1"/>
  <c r="V274" i="21"/>
  <c r="AE274" i="21" s="1"/>
  <c r="V276" i="29"/>
  <c r="AE276" i="29" s="1"/>
  <c r="V283" i="29"/>
  <c r="AE283" i="29" s="1"/>
  <c r="V265" i="27"/>
  <c r="AE265" i="27" s="1"/>
  <c r="V277" i="22"/>
  <c r="AE277" i="22" s="1"/>
  <c r="V279" i="25"/>
  <c r="AE279" i="25" s="1"/>
  <c r="V277" i="20"/>
  <c r="AE277" i="20" s="1"/>
  <c r="I385" i="29"/>
  <c r="V287" i="24"/>
  <c r="AE287" i="24" s="1"/>
  <c r="V286" i="24"/>
  <c r="AE286" i="24" s="1"/>
  <c r="S20" i="9"/>
  <c r="V280" i="21"/>
  <c r="AE280" i="21" s="1"/>
  <c r="V290" i="29"/>
  <c r="AE290" i="29" s="1"/>
  <c r="V265" i="20"/>
  <c r="AE265" i="20" s="1"/>
  <c r="V284" i="26"/>
  <c r="AE284" i="26" s="1"/>
  <c r="V289" i="21"/>
  <c r="AE289" i="21" s="1"/>
  <c r="I410" i="29"/>
  <c r="N67" i="18" s="1"/>
  <c r="V290" i="27"/>
  <c r="AE290" i="27" s="1"/>
  <c r="V282" i="3"/>
  <c r="AE282" i="3" s="1"/>
  <c r="V264" i="20"/>
  <c r="V294" i="28"/>
  <c r="AE294" i="28" s="1"/>
  <c r="I402" i="28"/>
  <c r="V292" i="19"/>
  <c r="AE292" i="19" s="1"/>
  <c r="V289" i="29"/>
  <c r="AE289" i="29" s="1"/>
  <c r="V291" i="26"/>
  <c r="AE291" i="26" s="1"/>
  <c r="V293" i="3"/>
  <c r="AE293" i="3" s="1"/>
  <c r="V277" i="24"/>
  <c r="AE277" i="24" s="1"/>
  <c r="V284" i="24"/>
  <c r="AE284" i="24" s="1"/>
  <c r="I385" i="26"/>
  <c r="V275" i="23"/>
  <c r="AE275" i="23" s="1"/>
  <c r="V288" i="28"/>
  <c r="AE288" i="28" s="1"/>
  <c r="V294" i="25"/>
  <c r="AE294" i="25" s="1"/>
  <c r="V272" i="3"/>
  <c r="AE272" i="3" s="1"/>
  <c r="V280" i="23"/>
  <c r="AE280" i="23" s="1"/>
  <c r="Q24" i="19"/>
  <c r="V281" i="28"/>
  <c r="AE281" i="28" s="1"/>
  <c r="V264" i="19"/>
  <c r="V287" i="25"/>
  <c r="AE287" i="25" s="1"/>
  <c r="V266" i="25"/>
  <c r="AE266" i="25" s="1"/>
  <c r="V275" i="3"/>
  <c r="AE275" i="3" s="1"/>
  <c r="V283" i="21"/>
  <c r="AE283" i="21" s="1"/>
  <c r="P410" i="28"/>
  <c r="V284" i="27"/>
  <c r="AE284" i="27" s="1"/>
  <c r="V293" i="20"/>
  <c r="AE293" i="20" s="1"/>
  <c r="Q24" i="20"/>
  <c r="V288" i="22"/>
  <c r="AE288" i="22" s="1"/>
  <c r="V277" i="3"/>
  <c r="AE277" i="3" s="1"/>
  <c r="V287" i="21"/>
  <c r="AE287" i="21" s="1"/>
  <c r="Q24" i="21"/>
  <c r="V288" i="27"/>
  <c r="AE288" i="27" s="1"/>
  <c r="V271" i="22"/>
  <c r="AE271" i="22" s="1"/>
  <c r="Q24" i="29"/>
  <c r="V292" i="22"/>
  <c r="AE292" i="22" s="1"/>
  <c r="V264" i="3"/>
  <c r="V293" i="23"/>
  <c r="AE293" i="23" s="1"/>
  <c r="V287" i="29"/>
  <c r="AE287" i="29" s="1"/>
  <c r="V289" i="26"/>
  <c r="AE289" i="26" s="1"/>
  <c r="V279" i="19"/>
  <c r="AE279" i="19" s="1"/>
  <c r="I410" i="23"/>
  <c r="H67" i="18" s="1"/>
  <c r="V288" i="20"/>
  <c r="AE288" i="20" s="1"/>
  <c r="V293" i="27"/>
  <c r="AE293" i="27" s="1"/>
  <c r="V265" i="23"/>
  <c r="AE265" i="23" s="1"/>
  <c r="V286" i="28"/>
  <c r="AE286" i="28" s="1"/>
  <c r="V292" i="25"/>
  <c r="AE292" i="25" s="1"/>
  <c r="V278" i="21"/>
  <c r="AE278" i="21" s="1"/>
  <c r="V280" i="29"/>
  <c r="AE280" i="29" s="1"/>
  <c r="V265" i="19"/>
  <c r="AE265" i="19" s="1"/>
  <c r="V269" i="27"/>
  <c r="AE269" i="27" s="1"/>
  <c r="V291" i="19"/>
  <c r="AE291" i="19" s="1"/>
  <c r="I402" i="27"/>
  <c r="V282" i="22"/>
  <c r="AE282" i="22" s="1"/>
  <c r="V281" i="27"/>
  <c r="AE281" i="27" s="1"/>
  <c r="V290" i="23"/>
  <c r="AE290" i="23" s="1"/>
  <c r="V293" i="19"/>
  <c r="AE293" i="19" s="1"/>
  <c r="V291" i="28"/>
  <c r="AE291" i="28" s="1"/>
  <c r="V284" i="21"/>
  <c r="AE284" i="21" s="1"/>
  <c r="V294" i="29"/>
  <c r="AE294" i="29" s="1"/>
  <c r="V273" i="20"/>
  <c r="AE273" i="20" s="1"/>
  <c r="V288" i="26"/>
  <c r="AE288" i="26" s="1"/>
  <c r="V293" i="21"/>
  <c r="AE293" i="21" s="1"/>
  <c r="Q24" i="25"/>
  <c r="V294" i="27"/>
  <c r="AE294" i="27" s="1"/>
  <c r="V286" i="3"/>
  <c r="AE286" i="3" s="1"/>
  <c r="V266" i="29"/>
  <c r="AE266" i="29" s="1"/>
  <c r="I402" i="21"/>
  <c r="Y20" i="9"/>
  <c r="V265" i="21"/>
  <c r="AE265" i="21" s="1"/>
  <c r="V293" i="29"/>
  <c r="AE293" i="29" s="1"/>
  <c r="V264" i="27"/>
  <c r="V274" i="3"/>
  <c r="AE274" i="3" s="1"/>
  <c r="V281" i="24"/>
  <c r="AE281" i="24" s="1"/>
  <c r="V288" i="24"/>
  <c r="AE288" i="24" s="1"/>
  <c r="Y19" i="9"/>
  <c r="V279" i="23"/>
  <c r="AE279" i="23" s="1"/>
  <c r="V292" i="28"/>
  <c r="AE292" i="28" s="1"/>
  <c r="V267" i="26"/>
  <c r="AE267" i="26" s="1"/>
  <c r="V281" i="3"/>
  <c r="AE281" i="3" s="1"/>
  <c r="V284" i="23"/>
  <c r="AE284" i="23" s="1"/>
  <c r="V264" i="21"/>
  <c r="V285" i="28"/>
  <c r="AE285" i="28" s="1"/>
  <c r="V276" i="19"/>
  <c r="AE276" i="19" s="1"/>
  <c r="V291" i="25"/>
  <c r="AE291" i="25" s="1"/>
  <c r="V270" i="25"/>
  <c r="AE270" i="25" s="1"/>
  <c r="V283" i="3"/>
  <c r="AE283" i="3" s="1"/>
  <c r="V288" i="23"/>
  <c r="AE288" i="23" s="1"/>
  <c r="V272" i="19"/>
  <c r="V289" i="28"/>
  <c r="AE289" i="28" s="1"/>
  <c r="V286" i="19"/>
  <c r="AE286" i="19" s="1"/>
  <c r="V266" i="28"/>
  <c r="AE266" i="28" s="1"/>
  <c r="V274" i="25"/>
  <c r="AE274" i="25" s="1"/>
  <c r="V279" i="3"/>
  <c r="AE279" i="3" s="1"/>
  <c r="V291" i="21"/>
  <c r="AE291" i="21" s="1"/>
  <c r="Q24" i="28"/>
  <c r="V292" i="27"/>
  <c r="AE292" i="27" s="1"/>
  <c r="V275" i="22"/>
  <c r="AE275" i="22" s="1"/>
  <c r="P20" i="9"/>
  <c r="V266" i="19"/>
  <c r="AE266" i="19" s="1"/>
  <c r="V265" i="3"/>
  <c r="AE265" i="3" s="1"/>
  <c r="V294" i="19"/>
  <c r="AE294" i="19" s="1"/>
  <c r="V291" i="29"/>
  <c r="AE291" i="29" s="1"/>
  <c r="V293" i="26"/>
  <c r="AE293" i="26" s="1"/>
  <c r="V287" i="19"/>
  <c r="AE287" i="19" s="1"/>
  <c r="I410" i="26"/>
  <c r="K67" i="18" s="1"/>
  <c r="V268" i="22"/>
  <c r="AE268" i="22" s="1"/>
  <c r="S19" i="9"/>
  <c r="V281" i="22"/>
  <c r="AE281" i="22" s="1"/>
  <c r="V285" i="25"/>
  <c r="AE285" i="25" s="1"/>
  <c r="V264" i="23"/>
  <c r="I385" i="19"/>
  <c r="V291" i="24"/>
  <c r="AE291" i="24" s="1"/>
  <c r="V290" i="24"/>
  <c r="AE290" i="24" s="1"/>
  <c r="V268" i="26"/>
  <c r="AE268" i="26" s="1"/>
  <c r="V271" i="20"/>
  <c r="AE271" i="20" s="1"/>
  <c r="Q24" i="24"/>
  <c r="V286" i="22"/>
  <c r="AE286" i="22" s="1"/>
  <c r="V287" i="27"/>
  <c r="AE287" i="27" s="1"/>
  <c r="V294" i="23"/>
  <c r="AE294" i="23" s="1"/>
  <c r="V268" i="19"/>
  <c r="AE268" i="19" s="1"/>
  <c r="V264" i="29"/>
  <c r="V288" i="21"/>
  <c r="AE288" i="21" s="1"/>
  <c r="I385" i="20"/>
  <c r="V280" i="20"/>
  <c r="AE280" i="20" s="1"/>
  <c r="V294" i="26"/>
  <c r="AE294" i="26" s="1"/>
  <c r="V266" i="23"/>
  <c r="AE266" i="23" s="1"/>
  <c r="P410" i="21"/>
  <c r="V267" i="28"/>
  <c r="AE267" i="28" s="1"/>
  <c r="V290" i="3"/>
  <c r="AE290" i="3" s="1"/>
  <c r="V270" i="29"/>
  <c r="AE270" i="29" s="1"/>
  <c r="U20" i="9"/>
  <c r="I410" i="19"/>
  <c r="D67" i="18" s="1"/>
  <c r="V269" i="21"/>
  <c r="AE269" i="21" s="1"/>
  <c r="U19" i="9"/>
  <c r="V290" i="20"/>
  <c r="AE290" i="20" s="1"/>
  <c r="V280" i="3"/>
  <c r="AE280" i="3" s="1"/>
  <c r="V285" i="24"/>
  <c r="AE285" i="24" s="1"/>
  <c r="V294" i="24"/>
  <c r="AE294" i="24" s="1"/>
  <c r="I410" i="28"/>
  <c r="M67" i="18" s="1"/>
  <c r="V283" i="23"/>
  <c r="AE283" i="23" s="1"/>
  <c r="V267" i="29"/>
  <c r="AE267" i="29" s="1"/>
  <c r="V271" i="26"/>
  <c r="AE271" i="26" s="1"/>
  <c r="V284" i="3"/>
  <c r="AE284" i="3" s="1"/>
  <c r="V289" i="24"/>
  <c r="AE289" i="24" s="1"/>
  <c r="V271" i="25"/>
  <c r="AE271" i="25" s="1"/>
  <c r="R19" i="9"/>
  <c r="V287" i="23"/>
  <c r="AE287" i="23" s="1"/>
  <c r="V271" i="29"/>
  <c r="AE271" i="29" s="1"/>
  <c r="V275" i="26"/>
  <c r="AE275" i="26" s="1"/>
  <c r="V285" i="3"/>
  <c r="AE285" i="3" s="1"/>
  <c r="V292" i="23"/>
  <c r="AE292" i="23" s="1"/>
  <c r="V268" i="24"/>
  <c r="AE268" i="24" s="1"/>
  <c r="V293" i="28"/>
  <c r="AE293" i="28" s="1"/>
  <c r="V274" i="20"/>
  <c r="AE274" i="20" s="1"/>
  <c r="V270" i="28"/>
  <c r="AE270" i="28" s="1"/>
  <c r="V278" i="25"/>
  <c r="AE278" i="25" s="1"/>
  <c r="V266" i="3"/>
  <c r="AE266" i="3" s="1"/>
  <c r="V264" i="22"/>
  <c r="I402" i="23"/>
  <c r="V265" i="28"/>
  <c r="AE265" i="28" s="1"/>
  <c r="V279" i="22"/>
  <c r="AE279" i="22" s="1"/>
  <c r="V267" i="25"/>
  <c r="AE267" i="25" s="1"/>
  <c r="V274" i="19"/>
  <c r="AE274" i="19" s="1"/>
  <c r="Q20" i="9"/>
  <c r="V269" i="23"/>
  <c r="AE269" i="23" s="1"/>
  <c r="V290" i="28"/>
  <c r="AE290" i="28" s="1"/>
  <c r="V265" i="26"/>
  <c r="AE265" i="26" s="1"/>
  <c r="V282" i="21"/>
  <c r="AE282" i="21" s="1"/>
  <c r="V284" i="29"/>
  <c r="AE284" i="29" s="1"/>
  <c r="V273" i="19"/>
  <c r="AE273" i="19" s="1"/>
  <c r="V288" i="19"/>
  <c r="AE288" i="19" s="1"/>
  <c r="V285" i="22"/>
  <c r="AE285" i="22" s="1"/>
  <c r="V289" i="25"/>
  <c r="AE289" i="25" s="1"/>
  <c r="V268" i="25"/>
  <c r="AE268" i="25" s="1"/>
  <c r="I402" i="24"/>
  <c r="V264" i="25"/>
  <c r="V265" i="25"/>
  <c r="AE265" i="25" s="1"/>
  <c r="V272" i="26"/>
  <c r="AE272" i="26" s="1"/>
  <c r="V278" i="20"/>
  <c r="AE278" i="20" s="1"/>
  <c r="I6" i="18"/>
  <c r="V290" i="22"/>
  <c r="AE290" i="22" s="1"/>
  <c r="V291" i="27"/>
  <c r="AE291" i="27" s="1"/>
  <c r="V267" i="24"/>
  <c r="AE267" i="24" s="1"/>
  <c r="V266" i="24"/>
  <c r="AE266" i="24" s="1"/>
  <c r="I410" i="21"/>
  <c r="F67" i="18" s="1"/>
  <c r="V292" i="21"/>
  <c r="AE292" i="21" s="1"/>
  <c r="P410" i="24"/>
  <c r="V286" i="20"/>
  <c r="AE286" i="20" s="1"/>
  <c r="V267" i="27"/>
  <c r="AE267" i="27" s="1"/>
  <c r="V270" i="23"/>
  <c r="AE270" i="23" s="1"/>
  <c r="I402" i="25"/>
  <c r="V271" i="28"/>
  <c r="AE271" i="28" s="1"/>
  <c r="V294" i="3"/>
  <c r="AE294" i="3" s="1"/>
  <c r="V274" i="29"/>
  <c r="AE274" i="29" s="1"/>
  <c r="V266" i="22"/>
  <c r="AE266" i="22" s="1"/>
  <c r="V266" i="26"/>
  <c r="AE266" i="26" s="1"/>
  <c r="V273" i="21"/>
  <c r="AE273" i="21" s="1"/>
  <c r="I410" i="24"/>
  <c r="I67" i="18" s="1"/>
  <c r="V274" i="27"/>
  <c r="AE274" i="27" s="1"/>
  <c r="V268" i="21"/>
  <c r="AE268" i="21" s="1"/>
  <c r="V278" i="29"/>
  <c r="AE278" i="29" s="1"/>
  <c r="V269" i="19"/>
  <c r="AE269" i="19" s="1"/>
  <c r="V270" i="26"/>
  <c r="AE270" i="26" s="1"/>
  <c r="V277" i="21"/>
  <c r="AE277" i="21" s="1"/>
  <c r="X19" i="9"/>
  <c r="V278" i="27"/>
  <c r="AE278" i="27" s="1"/>
  <c r="V288" i="3"/>
  <c r="AE288" i="3" s="1"/>
  <c r="V293" i="24"/>
  <c r="AE293" i="24" s="1"/>
  <c r="V293" i="25"/>
  <c r="AE293" i="25" s="1"/>
  <c r="W19" i="9"/>
  <c r="V291" i="23"/>
  <c r="AE291" i="23" s="1"/>
  <c r="V275" i="29"/>
  <c r="AE275" i="29" s="1"/>
  <c r="V279" i="26"/>
  <c r="AE279" i="26" s="1"/>
  <c r="V287" i="3"/>
  <c r="AE287" i="3" s="1"/>
  <c r="V265" i="24"/>
  <c r="AE265" i="24" s="1"/>
  <c r="V272" i="24"/>
  <c r="AE272" i="24" s="1"/>
  <c r="P410" i="20"/>
  <c r="V292" i="20"/>
  <c r="AE292" i="20" s="1"/>
  <c r="V276" i="28"/>
  <c r="AE276" i="28" s="1"/>
  <c r="V282" i="25"/>
  <c r="AE282" i="25" s="1"/>
  <c r="V267" i="3"/>
  <c r="AE267" i="3" s="1"/>
  <c r="V267" i="21"/>
  <c r="AE267" i="21" s="1"/>
  <c r="O19" i="9"/>
  <c r="V272" i="20"/>
  <c r="AE272" i="20" s="1"/>
  <c r="V267" i="20"/>
  <c r="AE267" i="20" s="1"/>
  <c r="P19" i="9"/>
  <c r="V272" i="22"/>
  <c r="AE272" i="22" s="1"/>
  <c r="I410" i="22"/>
  <c r="G67" i="18" s="1"/>
  <c r="V273" i="23"/>
  <c r="AE273" i="23" s="1"/>
  <c r="V265" i="29"/>
  <c r="AE265" i="29" s="1"/>
  <c r="V269" i="26"/>
  <c r="AE269" i="26" s="1"/>
  <c r="V286" i="21"/>
  <c r="AE286" i="21" s="1"/>
  <c r="V288" i="29"/>
  <c r="AE288" i="29" s="1"/>
  <c r="V281" i="19"/>
  <c r="AE281" i="19" s="1"/>
  <c r="V294" i="20"/>
  <c r="AE294" i="20" s="1"/>
  <c r="V289" i="22"/>
  <c r="AE289" i="22" s="1"/>
  <c r="V264" i="26"/>
  <c r="V272" i="25"/>
  <c r="AE272" i="25" s="1"/>
  <c r="P410" i="29"/>
  <c r="V268" i="27"/>
  <c r="AE268" i="27" s="1"/>
  <c r="V281" i="25"/>
  <c r="AE281" i="25" s="1"/>
  <c r="V278" i="26"/>
  <c r="AE278" i="26" s="1"/>
  <c r="V285" i="20"/>
  <c r="AE285" i="20" s="1"/>
  <c r="V20" i="9"/>
  <c r="V294" i="22"/>
  <c r="AE294" i="22" s="1"/>
  <c r="V264" i="28"/>
  <c r="V271" i="24"/>
  <c r="AE271" i="24" s="1"/>
  <c r="V270" i="24"/>
  <c r="AE270" i="24" s="1"/>
  <c r="I402" i="29"/>
  <c r="V265" i="22"/>
  <c r="AE265" i="22" s="1"/>
  <c r="P410" i="27"/>
  <c r="V291" i="20"/>
  <c r="AE291" i="20" s="1"/>
  <c r="V271" i="27"/>
  <c r="AE271" i="27" s="1"/>
  <c r="V274" i="23"/>
  <c r="AE274" i="23" s="1"/>
  <c r="Q24" i="22"/>
  <c r="V275" i="28"/>
  <c r="AE275" i="28" s="1"/>
  <c r="V267" i="19"/>
  <c r="AE267" i="19" s="1"/>
  <c r="I402" i="3"/>
  <c r="V270" i="22"/>
  <c r="AE270" i="22" s="1"/>
  <c r="V281" i="20"/>
  <c r="AE281" i="20" s="1"/>
  <c r="V278" i="23"/>
  <c r="AE278" i="23" s="1"/>
  <c r="Q24" i="3"/>
  <c r="V279" i="28"/>
  <c r="AE279" i="28" s="1"/>
  <c r="V272" i="21"/>
  <c r="AE272" i="21" s="1"/>
  <c r="V282" i="29"/>
  <c r="AE282" i="29" s="1"/>
  <c r="V277" i="19"/>
  <c r="AE277" i="19" s="1"/>
  <c r="V276" i="26"/>
  <c r="AE276" i="26" s="1"/>
  <c r="V281" i="21"/>
  <c r="AE281" i="21" s="1"/>
  <c r="I410" i="27"/>
  <c r="L67" i="18" s="1"/>
  <c r="V282" i="27"/>
  <c r="AE282" i="27" s="1"/>
  <c r="V292" i="3"/>
  <c r="AE292" i="3" s="1"/>
  <c r="V266" i="27"/>
  <c r="AE266" i="27" s="1"/>
  <c r="V290" i="26"/>
  <c r="AE290" i="26" s="1"/>
  <c r="I402" i="19"/>
  <c r="V264" i="24"/>
  <c r="V279" i="29"/>
  <c r="AE279" i="29" s="1"/>
  <c r="V283" i="26"/>
  <c r="AE283" i="26" s="1"/>
  <c r="V268" i="3"/>
  <c r="AE268" i="3" s="1"/>
  <c r="V268" i="23"/>
  <c r="AE268" i="23" s="1"/>
  <c r="I385" i="28"/>
  <c r="V269" i="28"/>
  <c r="AE269" i="28" s="1"/>
  <c r="V283" i="22"/>
  <c r="AE283" i="22" s="1"/>
  <c r="V273" i="25"/>
  <c r="AE273" i="25" s="1"/>
  <c r="V282" i="19"/>
  <c r="AE282" i="19" s="1"/>
  <c r="V269" i="3"/>
  <c r="AE269" i="3" s="1"/>
  <c r="V271" i="21"/>
  <c r="AE271" i="21" s="1"/>
  <c r="Q19" i="9"/>
  <c r="V272" i="27"/>
  <c r="AE272" i="27" s="1"/>
  <c r="V275" i="20"/>
  <c r="AE275" i="20" s="1"/>
  <c r="Q24" i="23"/>
  <c r="V276" i="22"/>
  <c r="AE276" i="22" s="1"/>
  <c r="I410" i="25"/>
  <c r="J67" i="18" s="1"/>
  <c r="V277" i="23"/>
  <c r="AE277" i="23" s="1"/>
  <c r="V269" i="29"/>
  <c r="AE269" i="29" s="1"/>
  <c r="V273" i="26"/>
  <c r="AE273" i="26" s="1"/>
  <c r="V290" i="21"/>
  <c r="AE290" i="21" s="1"/>
  <c r="V292" i="29"/>
  <c r="AE292" i="29" s="1"/>
  <c r="V289" i="19"/>
  <c r="AE289" i="19" s="1"/>
  <c r="V275" i="27"/>
  <c r="AE275" i="27" s="1"/>
  <c r="V293" i="22"/>
  <c r="AE293" i="22" s="1"/>
  <c r="V268" i="28"/>
  <c r="AE268" i="28" s="1"/>
  <c r="V276" i="25"/>
  <c r="AE276" i="25" s="1"/>
  <c r="P410" i="19"/>
  <c r="V284" i="19"/>
  <c r="AE284" i="19" s="1"/>
  <c r="V274" i="26"/>
  <c r="AE274" i="26" s="1"/>
  <c r="V282" i="26"/>
  <c r="AE282" i="26" s="1"/>
  <c r="V289" i="20"/>
  <c r="AE289" i="20" s="1"/>
  <c r="V292" i="24"/>
  <c r="AE292" i="24" s="1"/>
  <c r="V270" i="19"/>
  <c r="AE270" i="19" s="1"/>
  <c r="I410" i="20"/>
  <c r="E67" i="18" s="1"/>
  <c r="V275" i="24"/>
  <c r="AE275" i="24" s="1"/>
  <c r="V274" i="24"/>
  <c r="AE274" i="24" s="1"/>
  <c r="I385" i="22"/>
  <c r="V269" i="22"/>
  <c r="AE269" i="22" s="1"/>
  <c r="V269" i="25"/>
  <c r="AE269" i="25" s="1"/>
  <c r="V278" i="19"/>
  <c r="AE278" i="19" s="1"/>
  <c r="P410" i="23"/>
  <c r="V279" i="24"/>
  <c r="AE279" i="24" s="1"/>
  <c r="V278" i="24"/>
  <c r="AE278" i="24" s="1"/>
  <c r="P410" i="26"/>
  <c r="V275" i="19"/>
  <c r="AE275" i="19" s="1"/>
  <c r="Q24" i="26"/>
  <c r="V274" i="22"/>
  <c r="AE274" i="22" s="1"/>
  <c r="V273" i="27"/>
  <c r="AE273" i="27" s="1"/>
  <c r="V282" i="23"/>
  <c r="AE282" i="23" s="1"/>
  <c r="R20" i="9"/>
  <c r="V283" i="28"/>
  <c r="AE283" i="28" s="1"/>
  <c r="V276" i="21"/>
  <c r="AE276" i="21" s="1"/>
  <c r="V286" i="29"/>
  <c r="AE286" i="29" s="1"/>
  <c r="V285" i="19"/>
  <c r="AE285" i="19" s="1"/>
  <c r="V280" i="26"/>
  <c r="AE280" i="26" s="1"/>
  <c r="V285" i="21"/>
  <c r="AE285" i="21" s="1"/>
  <c r="P410" i="3"/>
  <c r="V286" i="27"/>
  <c r="AE286" i="27" s="1"/>
  <c r="V289" i="3"/>
  <c r="AE289" i="3" s="1"/>
  <c r="V269" i="24"/>
  <c r="AE269" i="24" s="1"/>
  <c r="V276" i="24"/>
  <c r="AE276" i="24" s="1"/>
  <c r="P410" i="22"/>
  <c r="V267" i="23"/>
  <c r="AE267" i="23" s="1"/>
  <c r="V280" i="28"/>
  <c r="AE280" i="28" s="1"/>
  <c r="V286" i="25"/>
  <c r="AE286" i="25" s="1"/>
  <c r="V270" i="3"/>
  <c r="AE270" i="3" s="1"/>
  <c r="V272" i="23"/>
  <c r="AE272" i="23" s="1"/>
  <c r="Q24" i="27"/>
  <c r="V273" i="28"/>
  <c r="AE273" i="28" s="1"/>
  <c r="V287" i="22"/>
  <c r="AE287" i="22" s="1"/>
  <c r="V277" i="25"/>
  <c r="AE277" i="25" s="1"/>
  <c r="V270" i="20"/>
  <c r="AE270" i="20" s="1"/>
  <c r="V271" i="3"/>
  <c r="AE271" i="3" s="1"/>
  <c r="V275" i="21"/>
  <c r="AE275" i="21" s="1"/>
  <c r="I402" i="20"/>
  <c r="V276" i="27"/>
  <c r="AE276" i="27" s="1"/>
  <c r="V282" i="20"/>
  <c r="AE282" i="20" s="1"/>
  <c r="I385" i="3"/>
  <c r="V280" i="22"/>
  <c r="AE280" i="22" s="1"/>
  <c r="I402" i="22"/>
  <c r="V281" i="23"/>
  <c r="AE281" i="23" s="1"/>
  <c r="V273" i="29"/>
  <c r="AE273" i="29" s="1"/>
  <c r="V277" i="26"/>
  <c r="AE277" i="26" s="1"/>
  <c r="V294" i="21"/>
  <c r="AE294" i="21" s="1"/>
  <c r="I410" i="3"/>
  <c r="C67" i="18" s="1"/>
  <c r="V269" i="20"/>
  <c r="AE269" i="20" s="1"/>
  <c r="V279" i="27"/>
  <c r="AE279" i="27" s="1"/>
  <c r="O67" i="18" l="1"/>
  <c r="I12" i="18" s="1"/>
  <c r="I443" i="22"/>
  <c r="G59" i="18"/>
  <c r="E270" i="20"/>
  <c r="BU270" i="20"/>
  <c r="AY270" i="20"/>
  <c r="AF270" i="20"/>
  <c r="BA270" i="20"/>
  <c r="BA280" i="28"/>
  <c r="BU280" i="28"/>
  <c r="E280" i="28"/>
  <c r="AY280" i="28"/>
  <c r="AF280" i="28"/>
  <c r="E285" i="21"/>
  <c r="BU285" i="21"/>
  <c r="BA285" i="21"/>
  <c r="AF285" i="21"/>
  <c r="AY285" i="21"/>
  <c r="BU273" i="27"/>
  <c r="AF273" i="27"/>
  <c r="BA273" i="27"/>
  <c r="AY273" i="27"/>
  <c r="E273" i="27"/>
  <c r="AF278" i="19"/>
  <c r="E278" i="19"/>
  <c r="BU278" i="19"/>
  <c r="AY278" i="19"/>
  <c r="BA278" i="19"/>
  <c r="BA292" i="24"/>
  <c r="AF292" i="24"/>
  <c r="AY292" i="24"/>
  <c r="BU292" i="24"/>
  <c r="E292" i="24"/>
  <c r="AY293" i="22"/>
  <c r="BU293" i="22"/>
  <c r="BA293" i="22"/>
  <c r="AF293" i="22"/>
  <c r="E293" i="22"/>
  <c r="BA282" i="19"/>
  <c r="BU282" i="19"/>
  <c r="AY282" i="19"/>
  <c r="AF282" i="19"/>
  <c r="E282" i="19"/>
  <c r="E279" i="29"/>
  <c r="AY279" i="29"/>
  <c r="BA279" i="29"/>
  <c r="AF279" i="29"/>
  <c r="BU279" i="29"/>
  <c r="BA281" i="21"/>
  <c r="AF281" i="21"/>
  <c r="AY281" i="21"/>
  <c r="E281" i="21"/>
  <c r="BU281" i="21"/>
  <c r="BA281" i="20"/>
  <c r="E281" i="20"/>
  <c r="BU281" i="20"/>
  <c r="AY281" i="20"/>
  <c r="AF281" i="20"/>
  <c r="BU291" i="20"/>
  <c r="E291" i="20"/>
  <c r="BA291" i="20"/>
  <c r="AF291" i="20"/>
  <c r="AY291" i="20"/>
  <c r="E289" i="22"/>
  <c r="AY289" i="22"/>
  <c r="BU289" i="22"/>
  <c r="BA289" i="22"/>
  <c r="AF289" i="22"/>
  <c r="AF282" i="25"/>
  <c r="AY282" i="25"/>
  <c r="E282" i="25"/>
  <c r="BU282" i="25"/>
  <c r="BA282" i="25"/>
  <c r="BU275" i="29"/>
  <c r="AY275" i="29"/>
  <c r="E275" i="29"/>
  <c r="AF275" i="29"/>
  <c r="BA275" i="29"/>
  <c r="BU277" i="21"/>
  <c r="AY277" i="21"/>
  <c r="E277" i="21"/>
  <c r="BA277" i="21"/>
  <c r="AF277" i="21"/>
  <c r="E266" i="26"/>
  <c r="BA266" i="26"/>
  <c r="AF266" i="26"/>
  <c r="BU266" i="26"/>
  <c r="AY266" i="26"/>
  <c r="E286" i="20"/>
  <c r="BU286" i="20"/>
  <c r="AY286" i="20"/>
  <c r="AF286" i="20"/>
  <c r="BA286" i="20"/>
  <c r="BU285" i="22"/>
  <c r="AY285" i="22"/>
  <c r="BA285" i="22"/>
  <c r="AF285" i="22"/>
  <c r="E285" i="22"/>
  <c r="BU278" i="25"/>
  <c r="BA278" i="25"/>
  <c r="AF278" i="25"/>
  <c r="AY278" i="25"/>
  <c r="E278" i="25"/>
  <c r="AY271" i="29"/>
  <c r="AF271" i="29"/>
  <c r="BA271" i="29"/>
  <c r="E271" i="29"/>
  <c r="BU271" i="29"/>
  <c r="AY283" i="23"/>
  <c r="E283" i="23"/>
  <c r="BA283" i="23"/>
  <c r="BU283" i="23"/>
  <c r="AF283" i="23"/>
  <c r="BU280" i="20"/>
  <c r="AY280" i="20"/>
  <c r="AF280" i="20"/>
  <c r="BA280" i="20"/>
  <c r="E280" i="20"/>
  <c r="O26" i="24"/>
  <c r="A26" i="24" s="1"/>
  <c r="O44" i="24"/>
  <c r="A44" i="24" s="1"/>
  <c r="O42" i="24"/>
  <c r="A42" i="24" s="1"/>
  <c r="O38" i="24"/>
  <c r="O37" i="24"/>
  <c r="O33" i="24"/>
  <c r="O25" i="24"/>
  <c r="A25" i="24" s="1"/>
  <c r="O28" i="24"/>
  <c r="O36" i="24"/>
  <c r="O35" i="24"/>
  <c r="O30" i="24"/>
  <c r="O45" i="24"/>
  <c r="A45" i="24" s="1"/>
  <c r="O40" i="24"/>
  <c r="A40" i="24" s="1"/>
  <c r="O41" i="24"/>
  <c r="O27" i="24"/>
  <c r="O39" i="24"/>
  <c r="O29" i="24"/>
  <c r="A23" i="24"/>
  <c r="O24" i="24"/>
  <c r="O43" i="24"/>
  <c r="O31" i="24"/>
  <c r="E281" i="22"/>
  <c r="BU281" i="22"/>
  <c r="BA281" i="22"/>
  <c r="AF281" i="22"/>
  <c r="AY281" i="22"/>
  <c r="AY265" i="3"/>
  <c r="BU265" i="3"/>
  <c r="BV265" i="3" s="1"/>
  <c r="BA265" i="3"/>
  <c r="AF265" i="3"/>
  <c r="E265" i="3"/>
  <c r="E274" i="25"/>
  <c r="BU274" i="25"/>
  <c r="BA274" i="25"/>
  <c r="AF274" i="25"/>
  <c r="AY274" i="25"/>
  <c r="AF291" i="25"/>
  <c r="AY291" i="25"/>
  <c r="BU291" i="25"/>
  <c r="E291" i="25"/>
  <c r="BA291" i="25"/>
  <c r="BA279" i="23"/>
  <c r="AY279" i="23"/>
  <c r="E279" i="23"/>
  <c r="BU279" i="23"/>
  <c r="AF279" i="23"/>
  <c r="AF273" i="20"/>
  <c r="BA273" i="20"/>
  <c r="E273" i="20"/>
  <c r="BU273" i="20"/>
  <c r="AY273" i="20"/>
  <c r="L59" i="18"/>
  <c r="I443" i="27"/>
  <c r="E265" i="23"/>
  <c r="BA265" i="23"/>
  <c r="BU265" i="23"/>
  <c r="AF265" i="23"/>
  <c r="AY265" i="23"/>
  <c r="AE264" i="3"/>
  <c r="F300" i="3"/>
  <c r="I373" i="3"/>
  <c r="E288" i="22"/>
  <c r="BU288" i="22"/>
  <c r="AY288" i="22"/>
  <c r="AF288" i="22"/>
  <c r="BA288" i="22"/>
  <c r="BU287" i="25"/>
  <c r="AF287" i="25"/>
  <c r="BA287" i="25"/>
  <c r="E287" i="25"/>
  <c r="AY287" i="25"/>
  <c r="AY275" i="23"/>
  <c r="E275" i="23"/>
  <c r="BA275" i="23"/>
  <c r="BU275" i="23"/>
  <c r="AF275" i="23"/>
  <c r="M59" i="18"/>
  <c r="I443" i="28"/>
  <c r="BU265" i="20"/>
  <c r="E265" i="20"/>
  <c r="AY265" i="20"/>
  <c r="AF265" i="20"/>
  <c r="BA265" i="20"/>
  <c r="BA279" i="25"/>
  <c r="AY279" i="25"/>
  <c r="AF279" i="25"/>
  <c r="BU279" i="25"/>
  <c r="E279" i="25"/>
  <c r="BA279" i="20"/>
  <c r="BU279" i="20"/>
  <c r="AY279" i="20"/>
  <c r="AF279" i="20"/>
  <c r="E279" i="20"/>
  <c r="BA285" i="27"/>
  <c r="AF285" i="27"/>
  <c r="AY285" i="27"/>
  <c r="E285" i="27"/>
  <c r="BU285" i="27"/>
  <c r="AF284" i="22"/>
  <c r="BA284" i="22"/>
  <c r="E284" i="22"/>
  <c r="BU284" i="22"/>
  <c r="AY284" i="22"/>
  <c r="E283" i="25"/>
  <c r="BA283" i="25"/>
  <c r="AF283" i="25"/>
  <c r="AY283" i="25"/>
  <c r="BU283" i="25"/>
  <c r="BU271" i="23"/>
  <c r="AF271" i="23"/>
  <c r="BA271" i="23"/>
  <c r="AY271" i="23"/>
  <c r="E271" i="23"/>
  <c r="I42" i="18"/>
  <c r="M381" i="24"/>
  <c r="BA278" i="22"/>
  <c r="AF278" i="22"/>
  <c r="BU278" i="22"/>
  <c r="AY278" i="22"/>
  <c r="E278" i="22"/>
  <c r="BA275" i="25"/>
  <c r="E275" i="25"/>
  <c r="AY275" i="25"/>
  <c r="BU275" i="25"/>
  <c r="AF275" i="25"/>
  <c r="BA266" i="20"/>
  <c r="E266" i="20"/>
  <c r="BU266" i="20"/>
  <c r="AY266" i="20"/>
  <c r="AF266" i="20"/>
  <c r="AF279" i="27"/>
  <c r="AY279" i="27"/>
  <c r="BA279" i="27"/>
  <c r="BU279" i="27"/>
  <c r="E279" i="27"/>
  <c r="E280" i="22"/>
  <c r="BU280" i="22"/>
  <c r="AY280" i="22"/>
  <c r="AF280" i="22"/>
  <c r="BA280" i="22"/>
  <c r="AY277" i="25"/>
  <c r="BU277" i="25"/>
  <c r="AF277" i="25"/>
  <c r="BA277" i="25"/>
  <c r="E277" i="25"/>
  <c r="AY267" i="23"/>
  <c r="E267" i="23"/>
  <c r="BA267" i="23"/>
  <c r="BU267" i="23"/>
  <c r="AF267" i="23"/>
  <c r="BA280" i="26"/>
  <c r="AY280" i="26"/>
  <c r="AF280" i="26"/>
  <c r="BU280" i="26"/>
  <c r="E280" i="26"/>
  <c r="BU274" i="22"/>
  <c r="AY274" i="22"/>
  <c r="AF274" i="22"/>
  <c r="BA274" i="22"/>
  <c r="E274" i="22"/>
  <c r="BA269" i="25"/>
  <c r="E269" i="25"/>
  <c r="BU269" i="25"/>
  <c r="AY269" i="25"/>
  <c r="AF269" i="25"/>
  <c r="BA289" i="20"/>
  <c r="AF289" i="20"/>
  <c r="AY289" i="20"/>
  <c r="E289" i="20"/>
  <c r="BU289" i="20"/>
  <c r="E275" i="27"/>
  <c r="AF275" i="27"/>
  <c r="AY275" i="27"/>
  <c r="BA275" i="27"/>
  <c r="BU275" i="27"/>
  <c r="BA276" i="22"/>
  <c r="E276" i="22"/>
  <c r="BU276" i="22"/>
  <c r="AY276" i="22"/>
  <c r="AF276" i="22"/>
  <c r="E273" i="25"/>
  <c r="AY273" i="25"/>
  <c r="AF273" i="25"/>
  <c r="BA273" i="25"/>
  <c r="BU273" i="25"/>
  <c r="AE264" i="24"/>
  <c r="F300" i="24"/>
  <c r="I373" i="24"/>
  <c r="AF276" i="26"/>
  <c r="BU276" i="26"/>
  <c r="E276" i="26"/>
  <c r="BA276" i="26"/>
  <c r="AY276" i="26"/>
  <c r="AF270" i="22"/>
  <c r="BA270" i="22"/>
  <c r="E270" i="22"/>
  <c r="BU270" i="22"/>
  <c r="AY270" i="22"/>
  <c r="AF285" i="20"/>
  <c r="E285" i="20"/>
  <c r="BA285" i="20"/>
  <c r="AY285" i="20"/>
  <c r="BU285" i="20"/>
  <c r="E294" i="20"/>
  <c r="AY294" i="20"/>
  <c r="BU294" i="20"/>
  <c r="AF294" i="20"/>
  <c r="BA294" i="20"/>
  <c r="BU272" i="22"/>
  <c r="AY272" i="22"/>
  <c r="AF272" i="22"/>
  <c r="BA272" i="22"/>
  <c r="E272" i="22"/>
  <c r="BA276" i="28"/>
  <c r="AF276" i="28"/>
  <c r="BU276" i="28"/>
  <c r="E276" i="28"/>
  <c r="AY276" i="28"/>
  <c r="AF291" i="23"/>
  <c r="AY291" i="23"/>
  <c r="E291" i="23"/>
  <c r="BA291" i="23"/>
  <c r="BU291" i="23"/>
  <c r="BU270" i="26"/>
  <c r="BA270" i="26"/>
  <c r="E270" i="26"/>
  <c r="AY270" i="26"/>
  <c r="AF270" i="26"/>
  <c r="AY266" i="22"/>
  <c r="AF266" i="22"/>
  <c r="BA266" i="22"/>
  <c r="E266" i="22"/>
  <c r="BU266" i="22"/>
  <c r="AF278" i="20"/>
  <c r="BA278" i="20"/>
  <c r="E278" i="20"/>
  <c r="BU278" i="20"/>
  <c r="AY278" i="20"/>
  <c r="BU288" i="19"/>
  <c r="AY288" i="19"/>
  <c r="BA288" i="19"/>
  <c r="E288" i="19"/>
  <c r="AF288" i="19"/>
  <c r="AF274" i="19"/>
  <c r="E274" i="19"/>
  <c r="BA274" i="19"/>
  <c r="BU274" i="19"/>
  <c r="AY274" i="19"/>
  <c r="E270" i="28"/>
  <c r="BA270" i="28"/>
  <c r="BU270" i="28"/>
  <c r="AY270" i="28"/>
  <c r="AF270" i="28"/>
  <c r="BA287" i="23"/>
  <c r="AY287" i="23"/>
  <c r="E287" i="23"/>
  <c r="BU287" i="23"/>
  <c r="AF287" i="23"/>
  <c r="M381" i="20"/>
  <c r="E42" i="18"/>
  <c r="E271" i="20"/>
  <c r="AF271" i="20"/>
  <c r="BA271" i="20"/>
  <c r="BU271" i="20"/>
  <c r="AY271" i="20"/>
  <c r="AY266" i="19"/>
  <c r="BA266" i="19"/>
  <c r="E266" i="19"/>
  <c r="AF266" i="19"/>
  <c r="BU266" i="19"/>
  <c r="AY266" i="28"/>
  <c r="E266" i="28"/>
  <c r="BA266" i="28"/>
  <c r="BU266" i="28"/>
  <c r="AF266" i="28"/>
  <c r="BA276" i="19"/>
  <c r="AF276" i="19"/>
  <c r="E276" i="19"/>
  <c r="AY276" i="19"/>
  <c r="BU276" i="19"/>
  <c r="I443" i="21"/>
  <c r="F59" i="18"/>
  <c r="BA294" i="29"/>
  <c r="AY294" i="29"/>
  <c r="E294" i="29"/>
  <c r="AF294" i="29"/>
  <c r="BU294" i="29"/>
  <c r="BU291" i="19"/>
  <c r="E291" i="19"/>
  <c r="BA291" i="19"/>
  <c r="AY291" i="19"/>
  <c r="AF291" i="19"/>
  <c r="BU293" i="27"/>
  <c r="AF293" i="27"/>
  <c r="BA293" i="27"/>
  <c r="AY293" i="27"/>
  <c r="E293" i="27"/>
  <c r="E292" i="22"/>
  <c r="BU292" i="22"/>
  <c r="AY292" i="22"/>
  <c r="BA292" i="22"/>
  <c r="AF292" i="22"/>
  <c r="O36" i="20"/>
  <c r="O45" i="20"/>
  <c r="A45" i="20" s="1"/>
  <c r="O30" i="20"/>
  <c r="O38" i="20"/>
  <c r="O35" i="20"/>
  <c r="O33" i="20"/>
  <c r="O37" i="20"/>
  <c r="A23" i="20"/>
  <c r="O44" i="20"/>
  <c r="A44" i="20" s="1"/>
  <c r="O26" i="20"/>
  <c r="A26" i="20" s="1"/>
  <c r="O28" i="20"/>
  <c r="O29" i="20"/>
  <c r="O41" i="20"/>
  <c r="O40" i="20"/>
  <c r="A40" i="20" s="1"/>
  <c r="O31" i="20"/>
  <c r="O43" i="20"/>
  <c r="O42" i="20"/>
  <c r="A42" i="20" s="1"/>
  <c r="O27" i="20"/>
  <c r="O39" i="20"/>
  <c r="O25" i="20"/>
  <c r="A25" i="20" s="1"/>
  <c r="O24" i="20"/>
  <c r="AE264" i="19"/>
  <c r="F300" i="19"/>
  <c r="I373" i="19"/>
  <c r="M381" i="26"/>
  <c r="K42" i="18"/>
  <c r="BU294" i="28"/>
  <c r="BA294" i="28"/>
  <c r="AY294" i="28"/>
  <c r="E294" i="28"/>
  <c r="AF294" i="28"/>
  <c r="AF290" i="29"/>
  <c r="E290" i="29"/>
  <c r="BA290" i="29"/>
  <c r="BU290" i="29"/>
  <c r="AY290" i="29"/>
  <c r="E277" i="22"/>
  <c r="AY277" i="22"/>
  <c r="BU277" i="22"/>
  <c r="BA277" i="22"/>
  <c r="AF277" i="22"/>
  <c r="AY289" i="27"/>
  <c r="AF289" i="27"/>
  <c r="BU289" i="27"/>
  <c r="BA289" i="27"/>
  <c r="E289" i="27"/>
  <c r="BA276" i="20"/>
  <c r="AF276" i="20"/>
  <c r="BU276" i="20"/>
  <c r="AY276" i="20"/>
  <c r="E276" i="20"/>
  <c r="J42" i="18"/>
  <c r="M381" i="25"/>
  <c r="E291" i="22"/>
  <c r="BA291" i="22"/>
  <c r="BU291" i="22"/>
  <c r="AF291" i="22"/>
  <c r="AY291" i="22"/>
  <c r="BA283" i="27"/>
  <c r="AY283" i="27"/>
  <c r="AF283" i="27"/>
  <c r="BU283" i="27"/>
  <c r="E283" i="27"/>
  <c r="M381" i="23"/>
  <c r="H42" i="18"/>
  <c r="BU273" i="22"/>
  <c r="BA273" i="22"/>
  <c r="AF273" i="22"/>
  <c r="AY273" i="22"/>
  <c r="E273" i="22"/>
  <c r="AY286" i="26"/>
  <c r="E286" i="26"/>
  <c r="BU286" i="26"/>
  <c r="AF286" i="26"/>
  <c r="BA286" i="26"/>
  <c r="AY269" i="20"/>
  <c r="AF269" i="20"/>
  <c r="BA269" i="20"/>
  <c r="E269" i="20"/>
  <c r="BU269" i="20"/>
  <c r="M381" i="3"/>
  <c r="C42" i="18"/>
  <c r="AY287" i="22"/>
  <c r="E287" i="22"/>
  <c r="BU287" i="22"/>
  <c r="AF287" i="22"/>
  <c r="BA287" i="22"/>
  <c r="AY285" i="19"/>
  <c r="BA285" i="19"/>
  <c r="E285" i="19"/>
  <c r="BU285" i="19"/>
  <c r="AF285" i="19"/>
  <c r="O43" i="26"/>
  <c r="O28" i="26"/>
  <c r="O45" i="26"/>
  <c r="A45" i="26" s="1"/>
  <c r="O24" i="26"/>
  <c r="O26" i="26"/>
  <c r="A26" i="26" s="1"/>
  <c r="O37" i="26"/>
  <c r="O44" i="26"/>
  <c r="A44" i="26" s="1"/>
  <c r="O29" i="26"/>
  <c r="O35" i="26"/>
  <c r="O27" i="26"/>
  <c r="O33" i="26"/>
  <c r="O41" i="26"/>
  <c r="O38" i="26"/>
  <c r="O42" i="26"/>
  <c r="A42" i="26" s="1"/>
  <c r="O36" i="26"/>
  <c r="O31" i="26"/>
  <c r="O40" i="26"/>
  <c r="A40" i="26" s="1"/>
  <c r="O30" i="26"/>
  <c r="O25" i="26"/>
  <c r="A25" i="26" s="1"/>
  <c r="O39" i="26"/>
  <c r="A23" i="26"/>
  <c r="BA269" i="22"/>
  <c r="AF269" i="22"/>
  <c r="E269" i="22"/>
  <c r="BU269" i="22"/>
  <c r="AY269" i="22"/>
  <c r="AF282" i="26"/>
  <c r="AY282" i="26"/>
  <c r="BA282" i="26"/>
  <c r="E282" i="26"/>
  <c r="BU282" i="26"/>
  <c r="BA289" i="19"/>
  <c r="BU289" i="19"/>
  <c r="AY289" i="19"/>
  <c r="E289" i="19"/>
  <c r="AF289" i="19"/>
  <c r="O41" i="23"/>
  <c r="O43" i="23"/>
  <c r="O28" i="23"/>
  <c r="O44" i="23"/>
  <c r="A44" i="23" s="1"/>
  <c r="O39" i="23"/>
  <c r="O25" i="23"/>
  <c r="A25" i="23" s="1"/>
  <c r="O27" i="23"/>
  <c r="O31" i="23"/>
  <c r="O26" i="23"/>
  <c r="A26" i="23" s="1"/>
  <c r="A23" i="23"/>
  <c r="O37" i="23"/>
  <c r="O35" i="23"/>
  <c r="O36" i="23"/>
  <c r="O24" i="23"/>
  <c r="O30" i="23"/>
  <c r="O38" i="23"/>
  <c r="O42" i="23"/>
  <c r="A42" i="23" s="1"/>
  <c r="O33" i="23"/>
  <c r="O29" i="23"/>
  <c r="O45" i="23"/>
  <c r="A45" i="23" s="1"/>
  <c r="O40" i="23"/>
  <c r="A40" i="23" s="1"/>
  <c r="E283" i="22"/>
  <c r="BA283" i="22"/>
  <c r="BU283" i="22"/>
  <c r="AF283" i="22"/>
  <c r="AY283" i="22"/>
  <c r="D59" i="18"/>
  <c r="I443" i="19"/>
  <c r="E277" i="19"/>
  <c r="BU277" i="19"/>
  <c r="AY277" i="19"/>
  <c r="BA277" i="19"/>
  <c r="AF277" i="19"/>
  <c r="I443" i="3"/>
  <c r="C59" i="18"/>
  <c r="AY265" i="22"/>
  <c r="E265" i="22"/>
  <c r="BU265" i="22"/>
  <c r="BA265" i="22"/>
  <c r="AF265" i="22"/>
  <c r="BU278" i="26"/>
  <c r="AF278" i="26"/>
  <c r="BA278" i="26"/>
  <c r="AY278" i="26"/>
  <c r="E278" i="26"/>
  <c r="AF281" i="19"/>
  <c r="E281" i="19"/>
  <c r="BU281" i="19"/>
  <c r="AY281" i="19"/>
  <c r="BA281" i="19"/>
  <c r="AY292" i="20"/>
  <c r="BA292" i="20"/>
  <c r="E292" i="20"/>
  <c r="BU292" i="20"/>
  <c r="AF292" i="20"/>
  <c r="AY269" i="19"/>
  <c r="AF269" i="19"/>
  <c r="BU269" i="19"/>
  <c r="E269" i="19"/>
  <c r="BA269" i="19"/>
  <c r="BU274" i="29"/>
  <c r="AY274" i="29"/>
  <c r="AF274" i="29"/>
  <c r="E274" i="29"/>
  <c r="BA274" i="29"/>
  <c r="BU292" i="21"/>
  <c r="BA292" i="21"/>
  <c r="AF292" i="21"/>
  <c r="E292" i="21"/>
  <c r="AY292" i="21"/>
  <c r="E272" i="26"/>
  <c r="BA272" i="26"/>
  <c r="AY272" i="26"/>
  <c r="AF272" i="26"/>
  <c r="BU272" i="26"/>
  <c r="BU273" i="19"/>
  <c r="BA273" i="19"/>
  <c r="AY273" i="19"/>
  <c r="E273" i="19"/>
  <c r="AF273" i="19"/>
  <c r="AF267" i="25"/>
  <c r="BA267" i="25"/>
  <c r="E267" i="25"/>
  <c r="AY267" i="25"/>
  <c r="BU267" i="25"/>
  <c r="BU274" i="20"/>
  <c r="AF274" i="20"/>
  <c r="BA274" i="20"/>
  <c r="E274" i="20"/>
  <c r="AY274" i="20"/>
  <c r="BA294" i="24"/>
  <c r="AY294" i="24"/>
  <c r="AF294" i="24"/>
  <c r="E294" i="24"/>
  <c r="BU294" i="24"/>
  <c r="BA270" i="29"/>
  <c r="AY270" i="29"/>
  <c r="E270" i="29"/>
  <c r="AF270" i="29"/>
  <c r="BU270" i="29"/>
  <c r="BU288" i="21"/>
  <c r="BA288" i="21"/>
  <c r="AF288" i="21"/>
  <c r="E288" i="21"/>
  <c r="AY288" i="21"/>
  <c r="AF268" i="26"/>
  <c r="AY268" i="26"/>
  <c r="E268" i="26"/>
  <c r="BU268" i="26"/>
  <c r="BA268" i="26"/>
  <c r="AY268" i="22"/>
  <c r="AF268" i="22"/>
  <c r="BA268" i="22"/>
  <c r="E268" i="22"/>
  <c r="BU268" i="22"/>
  <c r="BA286" i="19"/>
  <c r="AY286" i="19"/>
  <c r="E286" i="19"/>
  <c r="BU286" i="19"/>
  <c r="AF286" i="19"/>
  <c r="E285" i="28"/>
  <c r="BA285" i="28"/>
  <c r="AY285" i="28"/>
  <c r="BU285" i="28"/>
  <c r="AF285" i="28"/>
  <c r="BA288" i="24"/>
  <c r="AF288" i="24"/>
  <c r="BU288" i="24"/>
  <c r="E288" i="24"/>
  <c r="AY288" i="24"/>
  <c r="AY266" i="29"/>
  <c r="E266" i="29"/>
  <c r="AF266" i="29"/>
  <c r="BU266" i="29"/>
  <c r="BA266" i="29"/>
  <c r="AF284" i="21"/>
  <c r="E284" i="21"/>
  <c r="BU284" i="21"/>
  <c r="AY284" i="21"/>
  <c r="BA284" i="21"/>
  <c r="BA269" i="27"/>
  <c r="AY269" i="27"/>
  <c r="BU269" i="27"/>
  <c r="E269" i="27"/>
  <c r="AF269" i="27"/>
  <c r="AF288" i="20"/>
  <c r="BA288" i="20"/>
  <c r="E288" i="20"/>
  <c r="BU288" i="20"/>
  <c r="AY288" i="20"/>
  <c r="O24" i="29"/>
  <c r="O36" i="29"/>
  <c r="O26" i="29"/>
  <c r="A26" i="29" s="1"/>
  <c r="O29" i="29"/>
  <c r="O41" i="29"/>
  <c r="O27" i="29"/>
  <c r="O31" i="29"/>
  <c r="O37" i="29"/>
  <c r="A23" i="29"/>
  <c r="O42" i="29"/>
  <c r="A42" i="29" s="1"/>
  <c r="O43" i="29"/>
  <c r="O35" i="29"/>
  <c r="O44" i="29"/>
  <c r="A44" i="29" s="1"/>
  <c r="O40" i="29"/>
  <c r="A40" i="29" s="1"/>
  <c r="O30" i="29"/>
  <c r="O28" i="29"/>
  <c r="O33" i="29"/>
  <c r="O38" i="29"/>
  <c r="O25" i="29"/>
  <c r="A25" i="29" s="1"/>
  <c r="O45" i="29"/>
  <c r="A45" i="29" s="1"/>
  <c r="O39" i="29"/>
  <c r="BU293" i="20"/>
  <c r="AF293" i="20"/>
  <c r="AY293" i="20"/>
  <c r="E293" i="20"/>
  <c r="BA293" i="20"/>
  <c r="AF281" i="28"/>
  <c r="AY281" i="28"/>
  <c r="BA281" i="28"/>
  <c r="BU281" i="28"/>
  <c r="E281" i="28"/>
  <c r="AF284" i="24"/>
  <c r="BA284" i="24"/>
  <c r="E284" i="24"/>
  <c r="AY284" i="24"/>
  <c r="BU284" i="24"/>
  <c r="F300" i="20"/>
  <c r="AE264" i="20"/>
  <c r="I373" i="20"/>
  <c r="AY280" i="21"/>
  <c r="E280" i="21"/>
  <c r="BU280" i="21"/>
  <c r="BA280" i="21"/>
  <c r="AF280" i="21"/>
  <c r="BA265" i="27"/>
  <c r="AY265" i="27"/>
  <c r="E265" i="27"/>
  <c r="BU265" i="27"/>
  <c r="AF265" i="27"/>
  <c r="BA284" i="20"/>
  <c r="E284" i="20"/>
  <c r="AY284" i="20"/>
  <c r="BU284" i="20"/>
  <c r="AF284" i="20"/>
  <c r="M381" i="21"/>
  <c r="F42" i="18"/>
  <c r="BU287" i="20"/>
  <c r="AF287" i="20"/>
  <c r="AY287" i="20"/>
  <c r="BA287" i="20"/>
  <c r="E287" i="20"/>
  <c r="BU277" i="28"/>
  <c r="E277" i="28"/>
  <c r="AF277" i="28"/>
  <c r="AY277" i="28"/>
  <c r="BA277" i="28"/>
  <c r="AY280" i="24"/>
  <c r="BA280" i="24"/>
  <c r="AF280" i="24"/>
  <c r="BU280" i="24"/>
  <c r="E280" i="24"/>
  <c r="E270" i="27"/>
  <c r="BU270" i="27"/>
  <c r="AF270" i="27"/>
  <c r="BA270" i="27"/>
  <c r="AY270" i="27"/>
  <c r="E283" i="19"/>
  <c r="BA283" i="19"/>
  <c r="BU283" i="19"/>
  <c r="AY283" i="19"/>
  <c r="AF283" i="19"/>
  <c r="BA292" i="26"/>
  <c r="BU292" i="26"/>
  <c r="E292" i="26"/>
  <c r="AF292" i="26"/>
  <c r="AY292" i="26"/>
  <c r="BU268" i="20"/>
  <c r="AY268" i="20"/>
  <c r="AF268" i="20"/>
  <c r="BA268" i="20"/>
  <c r="E268" i="20"/>
  <c r="AF282" i="20"/>
  <c r="BA282" i="20"/>
  <c r="E282" i="20"/>
  <c r="AY282" i="20"/>
  <c r="BU282" i="20"/>
  <c r="BA273" i="28"/>
  <c r="BU273" i="28"/>
  <c r="E273" i="28"/>
  <c r="AF273" i="28"/>
  <c r="AY273" i="28"/>
  <c r="AF276" i="24"/>
  <c r="BA276" i="24"/>
  <c r="E276" i="24"/>
  <c r="AY276" i="24"/>
  <c r="BU276" i="24"/>
  <c r="AY286" i="29"/>
  <c r="E286" i="29"/>
  <c r="BA286" i="29"/>
  <c r="BU286" i="29"/>
  <c r="AF286" i="29"/>
  <c r="BU275" i="19"/>
  <c r="AY275" i="19"/>
  <c r="AF275" i="19"/>
  <c r="E275" i="19"/>
  <c r="BA275" i="19"/>
  <c r="G42" i="18"/>
  <c r="M381" i="22"/>
  <c r="BA274" i="26"/>
  <c r="AF274" i="26"/>
  <c r="AY274" i="26"/>
  <c r="E274" i="26"/>
  <c r="BU274" i="26"/>
  <c r="E292" i="29"/>
  <c r="AF292" i="29"/>
  <c r="BU292" i="29"/>
  <c r="BA292" i="29"/>
  <c r="AY292" i="29"/>
  <c r="BU275" i="20"/>
  <c r="AF275" i="20"/>
  <c r="AY275" i="20"/>
  <c r="BA275" i="20"/>
  <c r="E275" i="20"/>
  <c r="BU269" i="28"/>
  <c r="E269" i="28"/>
  <c r="BA269" i="28"/>
  <c r="AY269" i="28"/>
  <c r="AF269" i="28"/>
  <c r="AY290" i="26"/>
  <c r="E290" i="26"/>
  <c r="BU290" i="26"/>
  <c r="AF290" i="26"/>
  <c r="BA290" i="26"/>
  <c r="BU282" i="29"/>
  <c r="BA282" i="29"/>
  <c r="AY282" i="29"/>
  <c r="E282" i="29"/>
  <c r="AF282" i="29"/>
  <c r="AF267" i="19"/>
  <c r="E267" i="19"/>
  <c r="BA267" i="19"/>
  <c r="BU267" i="19"/>
  <c r="AY267" i="19"/>
  <c r="I443" i="29"/>
  <c r="N59" i="18"/>
  <c r="AF281" i="25"/>
  <c r="BU281" i="25"/>
  <c r="BA281" i="25"/>
  <c r="E281" i="25"/>
  <c r="AY281" i="25"/>
  <c r="BA288" i="29"/>
  <c r="BU288" i="29"/>
  <c r="AF288" i="29"/>
  <c r="AY288" i="29"/>
  <c r="E288" i="29"/>
  <c r="E267" i="20"/>
  <c r="BA267" i="20"/>
  <c r="AF267" i="20"/>
  <c r="AY267" i="20"/>
  <c r="BU267" i="20"/>
  <c r="E293" i="25"/>
  <c r="AY293" i="25"/>
  <c r="BU293" i="25"/>
  <c r="AF293" i="25"/>
  <c r="BA293" i="25"/>
  <c r="AF278" i="29"/>
  <c r="BU278" i="29"/>
  <c r="BA278" i="29"/>
  <c r="AY278" i="29"/>
  <c r="E278" i="29"/>
  <c r="BA294" i="3"/>
  <c r="AY294" i="3"/>
  <c r="E294" i="3"/>
  <c r="AF294" i="3"/>
  <c r="BU294" i="3"/>
  <c r="AF265" i="25"/>
  <c r="BA265" i="25"/>
  <c r="BU265" i="25"/>
  <c r="E265" i="25"/>
  <c r="AY265" i="25"/>
  <c r="AY284" i="29"/>
  <c r="E284" i="29"/>
  <c r="AF284" i="29"/>
  <c r="BU284" i="29"/>
  <c r="BA284" i="29"/>
  <c r="BU279" i="22"/>
  <c r="AF279" i="22"/>
  <c r="BA279" i="22"/>
  <c r="AY279" i="22"/>
  <c r="E279" i="22"/>
  <c r="BU293" i="28"/>
  <c r="AF293" i="28"/>
  <c r="E293" i="28"/>
  <c r="BA293" i="28"/>
  <c r="AY293" i="28"/>
  <c r="E271" i="25"/>
  <c r="AF271" i="25"/>
  <c r="AY271" i="25"/>
  <c r="BA271" i="25"/>
  <c r="BU271" i="25"/>
  <c r="BA285" i="24"/>
  <c r="AF285" i="24"/>
  <c r="BU285" i="24"/>
  <c r="AY285" i="24"/>
  <c r="E285" i="24"/>
  <c r="AY290" i="3"/>
  <c r="AF290" i="3"/>
  <c r="E290" i="3"/>
  <c r="BU290" i="3"/>
  <c r="BA290" i="3"/>
  <c r="I373" i="29"/>
  <c r="AE264" i="29"/>
  <c r="F300" i="29"/>
  <c r="AY290" i="24"/>
  <c r="AF290" i="24"/>
  <c r="BA290" i="24"/>
  <c r="BU290" i="24"/>
  <c r="E290" i="24"/>
  <c r="AY275" i="22"/>
  <c r="E275" i="22"/>
  <c r="BA275" i="22"/>
  <c r="BU275" i="22"/>
  <c r="AF275" i="22"/>
  <c r="BU289" i="28"/>
  <c r="E289" i="28"/>
  <c r="AF289" i="28"/>
  <c r="AY289" i="28"/>
  <c r="BA289" i="28"/>
  <c r="AE264" i="21"/>
  <c r="I373" i="21"/>
  <c r="F300" i="21"/>
  <c r="E281" i="24"/>
  <c r="AY281" i="24"/>
  <c r="BA281" i="24"/>
  <c r="AF281" i="24"/>
  <c r="BU281" i="24"/>
  <c r="AF286" i="3"/>
  <c r="E286" i="3"/>
  <c r="AY286" i="3"/>
  <c r="BU286" i="3"/>
  <c r="BA286" i="3"/>
  <c r="AF291" i="28"/>
  <c r="AY291" i="28"/>
  <c r="BA291" i="28"/>
  <c r="BU291" i="28"/>
  <c r="E291" i="28"/>
  <c r="AF265" i="19"/>
  <c r="E265" i="19"/>
  <c r="BU265" i="19"/>
  <c r="AY265" i="19"/>
  <c r="BA265" i="19"/>
  <c r="AY271" i="22"/>
  <c r="E271" i="22"/>
  <c r="BU271" i="22"/>
  <c r="AF271" i="22"/>
  <c r="BA271" i="22"/>
  <c r="BU284" i="27"/>
  <c r="AF284" i="27"/>
  <c r="AY284" i="27"/>
  <c r="E284" i="27"/>
  <c r="BA284" i="27"/>
  <c r="O30" i="19"/>
  <c r="O41" i="19"/>
  <c r="O36" i="19"/>
  <c r="A23" i="19"/>
  <c r="O38" i="19"/>
  <c r="O31" i="19"/>
  <c r="O37" i="19"/>
  <c r="O43" i="19"/>
  <c r="O28" i="19"/>
  <c r="O26" i="19"/>
  <c r="A26" i="19" s="1"/>
  <c r="O29" i="19"/>
  <c r="O25" i="19"/>
  <c r="A25" i="19" s="1"/>
  <c r="O33" i="19"/>
  <c r="O24" i="19"/>
  <c r="O35" i="19"/>
  <c r="O39" i="19"/>
  <c r="O44" i="19"/>
  <c r="A44" i="19" s="1"/>
  <c r="O45" i="19"/>
  <c r="A45" i="19" s="1"/>
  <c r="O42" i="19"/>
  <c r="A42" i="19" s="1"/>
  <c r="O40" i="19"/>
  <c r="A40" i="19" s="1"/>
  <c r="O27" i="19"/>
  <c r="AY277" i="24"/>
  <c r="BA277" i="24"/>
  <c r="AF277" i="24"/>
  <c r="BU277" i="24"/>
  <c r="E277" i="24"/>
  <c r="E282" i="3"/>
  <c r="AY282" i="3"/>
  <c r="AF282" i="3"/>
  <c r="BU282" i="3"/>
  <c r="BA282" i="3"/>
  <c r="AY283" i="29"/>
  <c r="BA283" i="29"/>
  <c r="AF283" i="29"/>
  <c r="E283" i="29"/>
  <c r="BU283" i="29"/>
  <c r="BA267" i="22"/>
  <c r="BU267" i="22"/>
  <c r="AF267" i="22"/>
  <c r="AY267" i="22"/>
  <c r="E267" i="22"/>
  <c r="AY280" i="27"/>
  <c r="E280" i="27"/>
  <c r="AF280" i="27"/>
  <c r="BU280" i="27"/>
  <c r="BA280" i="27"/>
  <c r="AF273" i="24"/>
  <c r="BU273" i="24"/>
  <c r="E273" i="24"/>
  <c r="AY273" i="24"/>
  <c r="BA273" i="24"/>
  <c r="AY276" i="3"/>
  <c r="AF276" i="3"/>
  <c r="E276" i="3"/>
  <c r="BU276" i="3"/>
  <c r="BV276" i="3" s="1"/>
  <c r="BA276" i="3"/>
  <c r="BU272" i="28"/>
  <c r="BA272" i="28"/>
  <c r="AY272" i="28"/>
  <c r="AF272" i="28"/>
  <c r="E272" i="28"/>
  <c r="E268" i="29"/>
  <c r="AF268" i="29"/>
  <c r="BU268" i="29"/>
  <c r="BA268" i="29"/>
  <c r="AY268" i="29"/>
  <c r="AY294" i="21"/>
  <c r="E294" i="21"/>
  <c r="BU294" i="21"/>
  <c r="AF294" i="21"/>
  <c r="BA294" i="21"/>
  <c r="AY276" i="27"/>
  <c r="E276" i="27"/>
  <c r="BA276" i="27"/>
  <c r="BU276" i="27"/>
  <c r="AF276" i="27"/>
  <c r="O44" i="27"/>
  <c r="A44" i="27" s="1"/>
  <c r="O25" i="27"/>
  <c r="A25" i="27" s="1"/>
  <c r="O28" i="27"/>
  <c r="O38" i="27"/>
  <c r="O35" i="27"/>
  <c r="O30" i="27"/>
  <c r="O33" i="27"/>
  <c r="O40" i="27"/>
  <c r="A40" i="27" s="1"/>
  <c r="O36" i="27"/>
  <c r="O39" i="27"/>
  <c r="O45" i="27"/>
  <c r="A45" i="27" s="1"/>
  <c r="O24" i="27"/>
  <c r="O41" i="27"/>
  <c r="O27" i="27"/>
  <c r="O26" i="27"/>
  <c r="A26" i="27" s="1"/>
  <c r="O29" i="27"/>
  <c r="A23" i="27"/>
  <c r="O42" i="27"/>
  <c r="A42" i="27" s="1"/>
  <c r="O43" i="27"/>
  <c r="O31" i="27"/>
  <c r="O37" i="27"/>
  <c r="AY269" i="24"/>
  <c r="BA269" i="24"/>
  <c r="AF269" i="24"/>
  <c r="BU269" i="24"/>
  <c r="E269" i="24"/>
  <c r="AY276" i="21"/>
  <c r="BU276" i="21"/>
  <c r="BA276" i="21"/>
  <c r="AF276" i="21"/>
  <c r="E276" i="21"/>
  <c r="BA274" i="24"/>
  <c r="E274" i="24"/>
  <c r="BU274" i="24"/>
  <c r="AY274" i="24"/>
  <c r="AF274" i="24"/>
  <c r="E284" i="19"/>
  <c r="BU284" i="19"/>
  <c r="AF284" i="19"/>
  <c r="BA284" i="19"/>
  <c r="AY284" i="19"/>
  <c r="AF290" i="21"/>
  <c r="AY290" i="21"/>
  <c r="E290" i="21"/>
  <c r="BA290" i="21"/>
  <c r="BU290" i="21"/>
  <c r="BA272" i="27"/>
  <c r="BU272" i="27"/>
  <c r="AF272" i="27"/>
  <c r="AY272" i="27"/>
  <c r="E272" i="27"/>
  <c r="M381" i="28"/>
  <c r="M42" i="18"/>
  <c r="AF266" i="27"/>
  <c r="AY266" i="27"/>
  <c r="E266" i="27"/>
  <c r="BA266" i="27"/>
  <c r="BU266" i="27"/>
  <c r="E272" i="21"/>
  <c r="BU272" i="21"/>
  <c r="BA272" i="21"/>
  <c r="AF272" i="21"/>
  <c r="AY272" i="21"/>
  <c r="AY275" i="28"/>
  <c r="BA275" i="28"/>
  <c r="AF275" i="28"/>
  <c r="BU275" i="28"/>
  <c r="E275" i="28"/>
  <c r="AY270" i="24"/>
  <c r="AF270" i="24"/>
  <c r="E270" i="24"/>
  <c r="BA270" i="24"/>
  <c r="BU270" i="24"/>
  <c r="AY268" i="27"/>
  <c r="E268" i="27"/>
  <c r="BA268" i="27"/>
  <c r="BU268" i="27"/>
  <c r="AF268" i="27"/>
  <c r="AY286" i="21"/>
  <c r="E286" i="21"/>
  <c r="BU286" i="21"/>
  <c r="AF286" i="21"/>
  <c r="BA286" i="21"/>
  <c r="AF272" i="20"/>
  <c r="BA272" i="20"/>
  <c r="E272" i="20"/>
  <c r="BU272" i="20"/>
  <c r="AY272" i="20"/>
  <c r="BU272" i="24"/>
  <c r="E272" i="24"/>
  <c r="AY272" i="24"/>
  <c r="BA272" i="24"/>
  <c r="AF272" i="24"/>
  <c r="BA293" i="24"/>
  <c r="BU293" i="24"/>
  <c r="AF293" i="24"/>
  <c r="AY293" i="24"/>
  <c r="E293" i="24"/>
  <c r="BU268" i="21"/>
  <c r="BA268" i="21"/>
  <c r="AF268" i="21"/>
  <c r="E268" i="21"/>
  <c r="AY268" i="21"/>
  <c r="AF271" i="28"/>
  <c r="BU271" i="28"/>
  <c r="E271" i="28"/>
  <c r="BA271" i="28"/>
  <c r="AY271" i="28"/>
  <c r="BU266" i="24"/>
  <c r="AY266" i="24"/>
  <c r="AF266" i="24"/>
  <c r="BA266" i="24"/>
  <c r="E266" i="24"/>
  <c r="AE264" i="25"/>
  <c r="I373" i="25"/>
  <c r="F300" i="25"/>
  <c r="BA282" i="21"/>
  <c r="BU282" i="21"/>
  <c r="AF282" i="21"/>
  <c r="AY282" i="21"/>
  <c r="E282" i="21"/>
  <c r="E265" i="28"/>
  <c r="AF265" i="28"/>
  <c r="AY265" i="28"/>
  <c r="BA265" i="28"/>
  <c r="BU265" i="28"/>
  <c r="BU268" i="24"/>
  <c r="AF268" i="24"/>
  <c r="AY268" i="24"/>
  <c r="BA268" i="24"/>
  <c r="E268" i="24"/>
  <c r="AF289" i="24"/>
  <c r="E289" i="24"/>
  <c r="BU289" i="24"/>
  <c r="AY289" i="24"/>
  <c r="BA289" i="24"/>
  <c r="BU280" i="3"/>
  <c r="BA280" i="3"/>
  <c r="E280" i="3"/>
  <c r="AY280" i="3"/>
  <c r="AF280" i="3"/>
  <c r="AF267" i="28"/>
  <c r="BU267" i="28"/>
  <c r="E267" i="28"/>
  <c r="BA267" i="28"/>
  <c r="AY267" i="28"/>
  <c r="BU268" i="19"/>
  <c r="E268" i="19"/>
  <c r="AY268" i="19"/>
  <c r="BA268" i="19"/>
  <c r="AF268" i="19"/>
  <c r="E291" i="24"/>
  <c r="AY291" i="24"/>
  <c r="BA291" i="24"/>
  <c r="AF291" i="24"/>
  <c r="BU291" i="24"/>
  <c r="E287" i="19"/>
  <c r="BU287" i="19"/>
  <c r="AF287" i="19"/>
  <c r="AY287" i="19"/>
  <c r="BA287" i="19"/>
  <c r="BA292" i="27"/>
  <c r="BU292" i="27"/>
  <c r="AF292" i="27"/>
  <c r="AY292" i="27"/>
  <c r="E292" i="27"/>
  <c r="V7" i="19"/>
  <c r="AE272" i="19"/>
  <c r="E284" i="23"/>
  <c r="BU284" i="23"/>
  <c r="BA284" i="23"/>
  <c r="AF284" i="23"/>
  <c r="AY284" i="23"/>
  <c r="BA274" i="3"/>
  <c r="AY274" i="3"/>
  <c r="AF274" i="3"/>
  <c r="E274" i="3"/>
  <c r="BU274" i="3"/>
  <c r="BV274" i="3" s="1"/>
  <c r="BA294" i="27"/>
  <c r="BU294" i="27"/>
  <c r="AF294" i="27"/>
  <c r="AY294" i="27"/>
  <c r="E294" i="27"/>
  <c r="BU293" i="19"/>
  <c r="AF293" i="19"/>
  <c r="E293" i="19"/>
  <c r="AY293" i="19"/>
  <c r="BA293" i="19"/>
  <c r="BU280" i="29"/>
  <c r="BA280" i="29"/>
  <c r="AY280" i="29"/>
  <c r="E280" i="29"/>
  <c r="AF280" i="29"/>
  <c r="BA279" i="19"/>
  <c r="E279" i="19"/>
  <c r="AF279" i="19"/>
  <c r="AY279" i="19"/>
  <c r="BU279" i="19"/>
  <c r="AY288" i="27"/>
  <c r="E288" i="27"/>
  <c r="BA288" i="27"/>
  <c r="BU288" i="27"/>
  <c r="AF288" i="27"/>
  <c r="E280" i="23"/>
  <c r="BU280" i="23"/>
  <c r="BA280" i="23"/>
  <c r="AF280" i="23"/>
  <c r="AY280" i="23"/>
  <c r="BA293" i="3"/>
  <c r="E293" i="3"/>
  <c r="AY293" i="3"/>
  <c r="AF293" i="3"/>
  <c r="BU293" i="3"/>
  <c r="E290" i="27"/>
  <c r="AF290" i="27"/>
  <c r="BU290" i="27"/>
  <c r="BA290" i="27"/>
  <c r="AY290" i="27"/>
  <c r="BA286" i="24"/>
  <c r="BU286" i="24"/>
  <c r="AY286" i="24"/>
  <c r="AF286" i="24"/>
  <c r="E286" i="24"/>
  <c r="AY276" i="29"/>
  <c r="E276" i="29"/>
  <c r="AF276" i="29"/>
  <c r="BU276" i="29"/>
  <c r="BA276" i="29"/>
  <c r="E271" i="19"/>
  <c r="BU271" i="19"/>
  <c r="AF271" i="19"/>
  <c r="BA271" i="19"/>
  <c r="AY271" i="19"/>
  <c r="AY281" i="26"/>
  <c r="AF281" i="26"/>
  <c r="BU281" i="26"/>
  <c r="E281" i="26"/>
  <c r="BA281" i="26"/>
  <c r="AF276" i="23"/>
  <c r="AY276" i="23"/>
  <c r="E276" i="23"/>
  <c r="BU276" i="23"/>
  <c r="BA276" i="23"/>
  <c r="AY291" i="3"/>
  <c r="AF291" i="3"/>
  <c r="E291" i="3"/>
  <c r="BU291" i="3"/>
  <c r="BA291" i="3"/>
  <c r="BA287" i="28"/>
  <c r="AY287" i="28"/>
  <c r="AF287" i="28"/>
  <c r="BU287" i="28"/>
  <c r="E287" i="28"/>
  <c r="BA282" i="24"/>
  <c r="BU282" i="24"/>
  <c r="E282" i="24"/>
  <c r="AY282" i="24"/>
  <c r="AF282" i="24"/>
  <c r="E272" i="29"/>
  <c r="AF272" i="29"/>
  <c r="BU272" i="29"/>
  <c r="BA272" i="29"/>
  <c r="AY272" i="29"/>
  <c r="AY266" i="21"/>
  <c r="E266" i="21"/>
  <c r="BA266" i="21"/>
  <c r="BU266" i="21"/>
  <c r="AF266" i="21"/>
  <c r="E277" i="26"/>
  <c r="BA277" i="26"/>
  <c r="BU277" i="26"/>
  <c r="AF277" i="26"/>
  <c r="AY277" i="26"/>
  <c r="E59" i="18"/>
  <c r="I443" i="20"/>
  <c r="AY272" i="23"/>
  <c r="BU272" i="23"/>
  <c r="E272" i="23"/>
  <c r="BA272" i="23"/>
  <c r="AF272" i="23"/>
  <c r="E289" i="3"/>
  <c r="AF289" i="3"/>
  <c r="BU289" i="3"/>
  <c r="BA289" i="3"/>
  <c r="AY289" i="3"/>
  <c r="BA283" i="28"/>
  <c r="BU283" i="28"/>
  <c r="E283" i="28"/>
  <c r="AF283" i="28"/>
  <c r="AY283" i="28"/>
  <c r="BU278" i="24"/>
  <c r="AY278" i="24"/>
  <c r="AF278" i="24"/>
  <c r="E278" i="24"/>
  <c r="BA278" i="24"/>
  <c r="BU275" i="24"/>
  <c r="AF275" i="24"/>
  <c r="E275" i="24"/>
  <c r="AY275" i="24"/>
  <c r="BA275" i="24"/>
  <c r="BU273" i="26"/>
  <c r="AF273" i="26"/>
  <c r="AY273" i="26"/>
  <c r="E273" i="26"/>
  <c r="BA273" i="26"/>
  <c r="E268" i="23"/>
  <c r="BU268" i="23"/>
  <c r="BA268" i="23"/>
  <c r="AF268" i="23"/>
  <c r="AY268" i="23"/>
  <c r="BU292" i="3"/>
  <c r="BA292" i="3"/>
  <c r="E292" i="3"/>
  <c r="AF292" i="3"/>
  <c r="AY292" i="3"/>
  <c r="AF279" i="28"/>
  <c r="AY279" i="28"/>
  <c r="BA279" i="28"/>
  <c r="BU279" i="28"/>
  <c r="E279" i="28"/>
  <c r="O42" i="22"/>
  <c r="A42" i="22" s="1"/>
  <c r="O25" i="22"/>
  <c r="A25" i="22" s="1"/>
  <c r="A23" i="22"/>
  <c r="O31" i="22"/>
  <c r="O26" i="22"/>
  <c r="A26" i="22" s="1"/>
  <c r="O28" i="22"/>
  <c r="O24" i="22"/>
  <c r="O44" i="22"/>
  <c r="A44" i="22" s="1"/>
  <c r="O29" i="22"/>
  <c r="O37" i="22"/>
  <c r="O43" i="22"/>
  <c r="O27" i="22"/>
  <c r="O40" i="22"/>
  <c r="A40" i="22" s="1"/>
  <c r="O39" i="22"/>
  <c r="O38" i="22"/>
  <c r="O41" i="22"/>
  <c r="O36" i="22"/>
  <c r="O45" i="22"/>
  <c r="A45" i="22" s="1"/>
  <c r="O30" i="22"/>
  <c r="O33" i="22"/>
  <c r="O35" i="22"/>
  <c r="AY271" i="24"/>
  <c r="BA271" i="24"/>
  <c r="AF271" i="24"/>
  <c r="BU271" i="24"/>
  <c r="E271" i="24"/>
  <c r="AY269" i="26"/>
  <c r="E269" i="26"/>
  <c r="AF269" i="26"/>
  <c r="BU269" i="26"/>
  <c r="BA269" i="26"/>
  <c r="AF265" i="24"/>
  <c r="BU265" i="24"/>
  <c r="E265" i="24"/>
  <c r="AY265" i="24"/>
  <c r="BA265" i="24"/>
  <c r="BU288" i="3"/>
  <c r="BA288" i="3"/>
  <c r="AY288" i="3"/>
  <c r="AF288" i="3"/>
  <c r="E288" i="3"/>
  <c r="BU274" i="27"/>
  <c r="BA274" i="27"/>
  <c r="AF274" i="27"/>
  <c r="AY274" i="27"/>
  <c r="E274" i="27"/>
  <c r="I443" i="25"/>
  <c r="J59" i="18"/>
  <c r="BU267" i="24"/>
  <c r="E267" i="24"/>
  <c r="AY267" i="24"/>
  <c r="BA267" i="24"/>
  <c r="AF267" i="24"/>
  <c r="I59" i="18"/>
  <c r="I443" i="24"/>
  <c r="BU265" i="26"/>
  <c r="E265" i="26"/>
  <c r="AY265" i="26"/>
  <c r="BA265" i="26"/>
  <c r="AF265" i="26"/>
  <c r="I443" i="23"/>
  <c r="H59" i="18"/>
  <c r="E292" i="23"/>
  <c r="BU292" i="23"/>
  <c r="BA292" i="23"/>
  <c r="AF292" i="23"/>
  <c r="AY292" i="23"/>
  <c r="BU284" i="3"/>
  <c r="BA284" i="3"/>
  <c r="E284" i="3"/>
  <c r="AF284" i="3"/>
  <c r="AY284" i="3"/>
  <c r="BU290" i="20"/>
  <c r="AY290" i="20"/>
  <c r="E290" i="20"/>
  <c r="BA290" i="20"/>
  <c r="AF290" i="20"/>
  <c r="AY294" i="23"/>
  <c r="AF294" i="23"/>
  <c r="BA294" i="23"/>
  <c r="E294" i="23"/>
  <c r="BU294" i="23"/>
  <c r="M381" i="19"/>
  <c r="D42" i="18"/>
  <c r="AY293" i="26"/>
  <c r="BA293" i="26"/>
  <c r="AF293" i="26"/>
  <c r="BU293" i="26"/>
  <c r="E293" i="26"/>
  <c r="O35" i="28"/>
  <c r="O31" i="28"/>
  <c r="O40" i="28"/>
  <c r="A40" i="28" s="1"/>
  <c r="O41" i="28"/>
  <c r="O25" i="28"/>
  <c r="A25" i="28" s="1"/>
  <c r="O39" i="28"/>
  <c r="O36" i="28"/>
  <c r="O43" i="28"/>
  <c r="O28" i="28"/>
  <c r="O30" i="28"/>
  <c r="O24" i="28"/>
  <c r="O26" i="28"/>
  <c r="A26" i="28" s="1"/>
  <c r="A23" i="28"/>
  <c r="O37" i="28"/>
  <c r="O44" i="28"/>
  <c r="A44" i="28" s="1"/>
  <c r="O45" i="28"/>
  <c r="A45" i="28" s="1"/>
  <c r="O29" i="28"/>
  <c r="O27" i="28"/>
  <c r="O33" i="28"/>
  <c r="O38" i="28"/>
  <c r="O42" i="28"/>
  <c r="A42" i="28" s="1"/>
  <c r="AF288" i="23"/>
  <c r="AY288" i="23"/>
  <c r="BU288" i="23"/>
  <c r="E288" i="23"/>
  <c r="BA288" i="23"/>
  <c r="E281" i="3"/>
  <c r="AY281" i="3"/>
  <c r="BU281" i="3"/>
  <c r="BA281" i="3"/>
  <c r="AF281" i="3"/>
  <c r="F300" i="27"/>
  <c r="AE264" i="27"/>
  <c r="I373" i="27"/>
  <c r="O33" i="25"/>
  <c r="O26" i="25"/>
  <c r="A26" i="25" s="1"/>
  <c r="O44" i="25"/>
  <c r="A44" i="25" s="1"/>
  <c r="O45" i="25"/>
  <c r="A45" i="25" s="1"/>
  <c r="O24" i="25"/>
  <c r="O39" i="25"/>
  <c r="O41" i="25"/>
  <c r="O37" i="25"/>
  <c r="O29" i="25"/>
  <c r="O27" i="25"/>
  <c r="O31" i="25"/>
  <c r="A23" i="25"/>
  <c r="O35" i="25"/>
  <c r="O40" i="25"/>
  <c r="A40" i="25" s="1"/>
  <c r="O25" i="25"/>
  <c r="A25" i="25" s="1"/>
  <c r="O36" i="25"/>
  <c r="O42" i="25"/>
  <c r="A42" i="25" s="1"/>
  <c r="O30" i="25"/>
  <c r="O38" i="25"/>
  <c r="O43" i="25"/>
  <c r="O28" i="25"/>
  <c r="E290" i="23"/>
  <c r="BU290" i="23"/>
  <c r="AY290" i="23"/>
  <c r="AF290" i="23"/>
  <c r="BA290" i="23"/>
  <c r="BA278" i="21"/>
  <c r="AY278" i="21"/>
  <c r="E278" i="21"/>
  <c r="BU278" i="21"/>
  <c r="AF278" i="21"/>
  <c r="AF289" i="26"/>
  <c r="BU289" i="26"/>
  <c r="E289" i="26"/>
  <c r="BA289" i="26"/>
  <c r="AY289" i="26"/>
  <c r="O41" i="21"/>
  <c r="O43" i="21"/>
  <c r="O42" i="21"/>
  <c r="A42" i="21" s="1"/>
  <c r="O35" i="21"/>
  <c r="O39" i="21"/>
  <c r="O29" i="21"/>
  <c r="O27" i="21"/>
  <c r="O45" i="21"/>
  <c r="A45" i="21" s="1"/>
  <c r="O26" i="21"/>
  <c r="A26" i="21" s="1"/>
  <c r="A23" i="21"/>
  <c r="O25" i="21"/>
  <c r="A25" i="21" s="1"/>
  <c r="O28" i="21"/>
  <c r="O44" i="21"/>
  <c r="A44" i="21" s="1"/>
  <c r="O31" i="21"/>
  <c r="O30" i="21"/>
  <c r="O38" i="21"/>
  <c r="O37" i="21"/>
  <c r="O33" i="21"/>
  <c r="O24" i="21"/>
  <c r="O36" i="21"/>
  <c r="O40" i="21"/>
  <c r="A40" i="21" s="1"/>
  <c r="BU283" i="21"/>
  <c r="BA283" i="21"/>
  <c r="E283" i="21"/>
  <c r="AY283" i="21"/>
  <c r="AF283" i="21"/>
  <c r="BA272" i="3"/>
  <c r="E272" i="3"/>
  <c r="AY272" i="3"/>
  <c r="AF272" i="3"/>
  <c r="BU272" i="3"/>
  <c r="BV272" i="3" s="1"/>
  <c r="BA291" i="26"/>
  <c r="BU291" i="26"/>
  <c r="E291" i="26"/>
  <c r="AF291" i="26"/>
  <c r="AY291" i="26"/>
  <c r="BA287" i="24"/>
  <c r="AF287" i="24"/>
  <c r="BU287" i="24"/>
  <c r="E287" i="24"/>
  <c r="AY287" i="24"/>
  <c r="AY274" i="21"/>
  <c r="E274" i="21"/>
  <c r="BA274" i="21"/>
  <c r="BU274" i="21"/>
  <c r="AF274" i="21"/>
  <c r="AY285" i="26"/>
  <c r="AF285" i="26"/>
  <c r="BU285" i="26"/>
  <c r="E285" i="26"/>
  <c r="BA285" i="26"/>
  <c r="AY277" i="29"/>
  <c r="BA277" i="29"/>
  <c r="BU277" i="29"/>
  <c r="E277" i="29"/>
  <c r="AF277" i="29"/>
  <c r="BU279" i="21"/>
  <c r="BA279" i="21"/>
  <c r="E279" i="21"/>
  <c r="AY279" i="21"/>
  <c r="AF279" i="21"/>
  <c r="BU278" i="3"/>
  <c r="BV278" i="3" s="1"/>
  <c r="BA278" i="3"/>
  <c r="AY278" i="3"/>
  <c r="AF278" i="3"/>
  <c r="E278" i="3"/>
  <c r="BA287" i="26"/>
  <c r="AY287" i="26"/>
  <c r="AF287" i="26"/>
  <c r="BU287" i="26"/>
  <c r="E287" i="26"/>
  <c r="AF283" i="24"/>
  <c r="BU283" i="24"/>
  <c r="E283" i="24"/>
  <c r="AY283" i="24"/>
  <c r="BA283" i="24"/>
  <c r="BU270" i="21"/>
  <c r="AF270" i="21"/>
  <c r="BA270" i="21"/>
  <c r="AY270" i="21"/>
  <c r="E270" i="21"/>
  <c r="AY280" i="25"/>
  <c r="E280" i="25"/>
  <c r="BU280" i="25"/>
  <c r="BA280" i="25"/>
  <c r="AF280" i="25"/>
  <c r="AF273" i="29"/>
  <c r="AY273" i="29"/>
  <c r="BA273" i="29"/>
  <c r="E273" i="29"/>
  <c r="BU273" i="29"/>
  <c r="AF275" i="21"/>
  <c r="BU275" i="21"/>
  <c r="BA275" i="21"/>
  <c r="E275" i="21"/>
  <c r="AY275" i="21"/>
  <c r="BA270" i="3"/>
  <c r="AY270" i="3"/>
  <c r="AF270" i="3"/>
  <c r="E270" i="3"/>
  <c r="BU270" i="3"/>
  <c r="BV270" i="3" s="1"/>
  <c r="E286" i="27"/>
  <c r="BU286" i="27"/>
  <c r="BA286" i="27"/>
  <c r="AF286" i="27"/>
  <c r="AY286" i="27"/>
  <c r="BA279" i="24"/>
  <c r="AF279" i="24"/>
  <c r="BU279" i="24"/>
  <c r="E279" i="24"/>
  <c r="AY279" i="24"/>
  <c r="E276" i="25"/>
  <c r="BU276" i="25"/>
  <c r="BA276" i="25"/>
  <c r="AF276" i="25"/>
  <c r="AY276" i="25"/>
  <c r="BA269" i="29"/>
  <c r="BU269" i="29"/>
  <c r="E269" i="29"/>
  <c r="AF269" i="29"/>
  <c r="AY269" i="29"/>
  <c r="BU271" i="21"/>
  <c r="BA271" i="21"/>
  <c r="E271" i="21"/>
  <c r="AY271" i="21"/>
  <c r="AF271" i="21"/>
  <c r="E268" i="3"/>
  <c r="BU268" i="3"/>
  <c r="BV268" i="3" s="1"/>
  <c r="BA268" i="3"/>
  <c r="AY268" i="3"/>
  <c r="AF268" i="3"/>
  <c r="E282" i="27"/>
  <c r="AF282" i="27"/>
  <c r="BU282" i="27"/>
  <c r="BA282" i="27"/>
  <c r="AY282" i="27"/>
  <c r="O36" i="3"/>
  <c r="O24" i="3"/>
  <c r="O45" i="3"/>
  <c r="A45" i="3" s="1"/>
  <c r="O38" i="3"/>
  <c r="O41" i="3"/>
  <c r="O27" i="3"/>
  <c r="O26" i="3"/>
  <c r="A26" i="3" s="1"/>
  <c r="O43" i="3"/>
  <c r="A23" i="3"/>
  <c r="O37" i="3"/>
  <c r="O28" i="3"/>
  <c r="O31" i="3"/>
  <c r="O39" i="3"/>
  <c r="O44" i="3"/>
  <c r="A44" i="3" s="1"/>
  <c r="O35" i="3"/>
  <c r="O30" i="3"/>
  <c r="O33" i="3"/>
  <c r="O29" i="3"/>
  <c r="O42" i="3"/>
  <c r="A42" i="3" s="1"/>
  <c r="O25" i="3"/>
  <c r="A25" i="3" s="1"/>
  <c r="O40" i="3"/>
  <c r="A40" i="3" s="1"/>
  <c r="AF274" i="23"/>
  <c r="E274" i="23"/>
  <c r="BU274" i="23"/>
  <c r="BA274" i="23"/>
  <c r="AY274" i="23"/>
  <c r="AE264" i="28"/>
  <c r="F300" i="28"/>
  <c r="I373" i="28"/>
  <c r="BA272" i="25"/>
  <c r="AF272" i="25"/>
  <c r="AY272" i="25"/>
  <c r="E272" i="25"/>
  <c r="BU272" i="25"/>
  <c r="AF265" i="29"/>
  <c r="BU265" i="29"/>
  <c r="E265" i="29"/>
  <c r="BA265" i="29"/>
  <c r="AY265" i="29"/>
  <c r="AY267" i="21"/>
  <c r="E267" i="21"/>
  <c r="BU267" i="21"/>
  <c r="BA267" i="21"/>
  <c r="AF267" i="21"/>
  <c r="E287" i="3"/>
  <c r="AY287" i="3"/>
  <c r="AF287" i="3"/>
  <c r="BU287" i="3"/>
  <c r="BA287" i="3"/>
  <c r="BA278" i="27"/>
  <c r="AY278" i="27"/>
  <c r="E278" i="27"/>
  <c r="AF278" i="27"/>
  <c r="BU278" i="27"/>
  <c r="AY270" i="23"/>
  <c r="AF270" i="23"/>
  <c r="BA270" i="23"/>
  <c r="E270" i="23"/>
  <c r="BU270" i="23"/>
  <c r="BA291" i="27"/>
  <c r="AY291" i="27"/>
  <c r="AF291" i="27"/>
  <c r="BU291" i="27"/>
  <c r="E291" i="27"/>
  <c r="AF268" i="25"/>
  <c r="AY268" i="25"/>
  <c r="E268" i="25"/>
  <c r="BU268" i="25"/>
  <c r="BA268" i="25"/>
  <c r="AY290" i="28"/>
  <c r="E290" i="28"/>
  <c r="BA290" i="28"/>
  <c r="BU290" i="28"/>
  <c r="AF290" i="28"/>
  <c r="F300" i="22"/>
  <c r="AE264" i="22"/>
  <c r="I373" i="22"/>
  <c r="AF285" i="3"/>
  <c r="AY285" i="3"/>
  <c r="E285" i="3"/>
  <c r="BU285" i="3"/>
  <c r="BA285" i="3"/>
  <c r="AY271" i="26"/>
  <c r="BA271" i="26"/>
  <c r="E271" i="26"/>
  <c r="AF271" i="26"/>
  <c r="BU271" i="26"/>
  <c r="AF266" i="23"/>
  <c r="BA266" i="23"/>
  <c r="E266" i="23"/>
  <c r="BU266" i="23"/>
  <c r="AY266" i="23"/>
  <c r="BU287" i="27"/>
  <c r="E287" i="27"/>
  <c r="BA287" i="27"/>
  <c r="AY287" i="27"/>
  <c r="AF287" i="27"/>
  <c r="I373" i="23"/>
  <c r="F300" i="23"/>
  <c r="AE264" i="23"/>
  <c r="BU291" i="29"/>
  <c r="AY291" i="29"/>
  <c r="AF291" i="29"/>
  <c r="E291" i="29"/>
  <c r="BA291" i="29"/>
  <c r="AY291" i="21"/>
  <c r="BU291" i="21"/>
  <c r="AF291" i="21"/>
  <c r="BA291" i="21"/>
  <c r="E291" i="21"/>
  <c r="BU283" i="3"/>
  <c r="BA283" i="3"/>
  <c r="AY283" i="3"/>
  <c r="AF283" i="3"/>
  <c r="E283" i="3"/>
  <c r="BA267" i="26"/>
  <c r="AY267" i="26"/>
  <c r="E267" i="26"/>
  <c r="AF267" i="26"/>
  <c r="BU267" i="26"/>
  <c r="AY293" i="29"/>
  <c r="BA293" i="29"/>
  <c r="BU293" i="29"/>
  <c r="E293" i="29"/>
  <c r="AF293" i="29"/>
  <c r="BU293" i="21"/>
  <c r="AY293" i="21"/>
  <c r="E293" i="21"/>
  <c r="BA293" i="21"/>
  <c r="AF293" i="21"/>
  <c r="E281" i="27"/>
  <c r="BU281" i="27"/>
  <c r="BA281" i="27"/>
  <c r="AF281" i="27"/>
  <c r="AY281" i="27"/>
  <c r="AY292" i="25"/>
  <c r="E292" i="25"/>
  <c r="BU292" i="25"/>
  <c r="BA292" i="25"/>
  <c r="AF292" i="25"/>
  <c r="E287" i="29"/>
  <c r="AY287" i="29"/>
  <c r="BA287" i="29"/>
  <c r="AF287" i="29"/>
  <c r="BU287" i="29"/>
  <c r="BU287" i="21"/>
  <c r="BA287" i="21"/>
  <c r="AF287" i="21"/>
  <c r="AY287" i="21"/>
  <c r="E287" i="21"/>
  <c r="BA275" i="3"/>
  <c r="AF275" i="3"/>
  <c r="E275" i="3"/>
  <c r="AY275" i="3"/>
  <c r="BU275" i="3"/>
  <c r="BV275" i="3" s="1"/>
  <c r="BU294" i="25"/>
  <c r="BA294" i="25"/>
  <c r="AF294" i="25"/>
  <c r="AY294" i="25"/>
  <c r="E294" i="25"/>
  <c r="AF289" i="29"/>
  <c r="BU289" i="29"/>
  <c r="E289" i="29"/>
  <c r="BA289" i="29"/>
  <c r="AY289" i="29"/>
  <c r="AY289" i="21"/>
  <c r="E289" i="21"/>
  <c r="BU289" i="21"/>
  <c r="BA289" i="21"/>
  <c r="AF289" i="21"/>
  <c r="M381" i="29"/>
  <c r="N42" i="18"/>
  <c r="BA288" i="25"/>
  <c r="AF288" i="25"/>
  <c r="AY288" i="25"/>
  <c r="E288" i="25"/>
  <c r="BU288" i="25"/>
  <c r="AF281" i="29"/>
  <c r="AY281" i="29"/>
  <c r="BA281" i="29"/>
  <c r="BU281" i="29"/>
  <c r="E281" i="29"/>
  <c r="AY285" i="23"/>
  <c r="BU285" i="23"/>
  <c r="BA285" i="23"/>
  <c r="AF285" i="23"/>
  <c r="E285" i="23"/>
  <c r="AF273" i="3"/>
  <c r="BU273" i="3"/>
  <c r="BV273" i="3" s="1"/>
  <c r="BA273" i="3"/>
  <c r="E273" i="3"/>
  <c r="AY273" i="3"/>
  <c r="E290" i="25"/>
  <c r="BU290" i="25"/>
  <c r="BA290" i="25"/>
  <c r="AF290" i="25"/>
  <c r="AY290" i="25"/>
  <c r="BA285" i="29"/>
  <c r="BU285" i="29"/>
  <c r="E285" i="29"/>
  <c r="AF285" i="29"/>
  <c r="AY285" i="29"/>
  <c r="BA286" i="23"/>
  <c r="E286" i="23"/>
  <c r="BU286" i="23"/>
  <c r="AY286" i="23"/>
  <c r="AF286" i="23"/>
  <c r="I443" i="26"/>
  <c r="K59" i="18"/>
  <c r="AY284" i="25"/>
  <c r="E284" i="25"/>
  <c r="BU284" i="25"/>
  <c r="BA284" i="25"/>
  <c r="AF284" i="25"/>
  <c r="E274" i="28"/>
  <c r="BA274" i="28"/>
  <c r="BU274" i="28"/>
  <c r="AF274" i="28"/>
  <c r="AY274" i="28"/>
  <c r="E281" i="23"/>
  <c r="BU281" i="23"/>
  <c r="BA281" i="23"/>
  <c r="AF281" i="23"/>
  <c r="AY281" i="23"/>
  <c r="E271" i="3"/>
  <c r="AF271" i="3"/>
  <c r="BU271" i="3"/>
  <c r="BV271" i="3" s="1"/>
  <c r="BA271" i="3"/>
  <c r="AY271" i="3"/>
  <c r="E286" i="25"/>
  <c r="BU286" i="25"/>
  <c r="BA286" i="25"/>
  <c r="AF286" i="25"/>
  <c r="AY286" i="25"/>
  <c r="AF282" i="23"/>
  <c r="E282" i="23"/>
  <c r="BU282" i="23"/>
  <c r="AY282" i="23"/>
  <c r="BA282" i="23"/>
  <c r="BA270" i="19"/>
  <c r="AF270" i="19"/>
  <c r="E270" i="19"/>
  <c r="BU270" i="19"/>
  <c r="AY270" i="19"/>
  <c r="BA268" i="28"/>
  <c r="BU268" i="28"/>
  <c r="E268" i="28"/>
  <c r="AY268" i="28"/>
  <c r="AF268" i="28"/>
  <c r="AF277" i="23"/>
  <c r="E277" i="23"/>
  <c r="AY277" i="23"/>
  <c r="BU277" i="23"/>
  <c r="BA277" i="23"/>
  <c r="E269" i="3"/>
  <c r="BU269" i="3"/>
  <c r="BV269" i="3" s="1"/>
  <c r="BA269" i="3"/>
  <c r="AF269" i="3"/>
  <c r="AY269" i="3"/>
  <c r="BU283" i="26"/>
  <c r="AF283" i="26"/>
  <c r="E283" i="26"/>
  <c r="BA283" i="26"/>
  <c r="AY283" i="26"/>
  <c r="BU278" i="23"/>
  <c r="AY278" i="23"/>
  <c r="AF278" i="23"/>
  <c r="BA278" i="23"/>
  <c r="E278" i="23"/>
  <c r="BA271" i="27"/>
  <c r="AY271" i="27"/>
  <c r="AF271" i="27"/>
  <c r="BU271" i="27"/>
  <c r="E271" i="27"/>
  <c r="BU294" i="22"/>
  <c r="AY294" i="22"/>
  <c r="E294" i="22"/>
  <c r="BA294" i="22"/>
  <c r="AF294" i="22"/>
  <c r="AE264" i="26"/>
  <c r="I373" i="26"/>
  <c r="F300" i="26"/>
  <c r="AY273" i="23"/>
  <c r="BU273" i="23"/>
  <c r="BA273" i="23"/>
  <c r="AF273" i="23"/>
  <c r="E273" i="23"/>
  <c r="BU267" i="3"/>
  <c r="BV267" i="3" s="1"/>
  <c r="BA267" i="3"/>
  <c r="AY267" i="3"/>
  <c r="E267" i="3"/>
  <c r="AF267" i="3"/>
  <c r="BA279" i="26"/>
  <c r="BU279" i="26"/>
  <c r="E279" i="26"/>
  <c r="AF279" i="26"/>
  <c r="AY279" i="26"/>
  <c r="AY273" i="21"/>
  <c r="E273" i="21"/>
  <c r="BA273" i="21"/>
  <c r="BU273" i="21"/>
  <c r="AF273" i="21"/>
  <c r="AF267" i="27"/>
  <c r="BU267" i="27"/>
  <c r="E267" i="27"/>
  <c r="BA267" i="27"/>
  <c r="AY267" i="27"/>
  <c r="BU290" i="22"/>
  <c r="AY290" i="22"/>
  <c r="E290" i="22"/>
  <c r="BA290" i="22"/>
  <c r="AF290" i="22"/>
  <c r="BA289" i="25"/>
  <c r="AF289" i="25"/>
  <c r="E289" i="25"/>
  <c r="AY289" i="25"/>
  <c r="BU289" i="25"/>
  <c r="BU269" i="23"/>
  <c r="BA269" i="23"/>
  <c r="E269" i="23"/>
  <c r="AF269" i="23"/>
  <c r="AY269" i="23"/>
  <c r="AY266" i="3"/>
  <c r="AF266" i="3"/>
  <c r="E266" i="3"/>
  <c r="BU266" i="3"/>
  <c r="BV266" i="3" s="1"/>
  <c r="BA266" i="3"/>
  <c r="BU275" i="26"/>
  <c r="AF275" i="26"/>
  <c r="AY275" i="26"/>
  <c r="E275" i="26"/>
  <c r="BA275" i="26"/>
  <c r="E267" i="29"/>
  <c r="AF267" i="29"/>
  <c r="BA267" i="29"/>
  <c r="BU267" i="29"/>
  <c r="AY267" i="29"/>
  <c r="E269" i="21"/>
  <c r="BU269" i="21"/>
  <c r="BA269" i="21"/>
  <c r="AF269" i="21"/>
  <c r="AY269" i="21"/>
  <c r="E294" i="26"/>
  <c r="AY294" i="26"/>
  <c r="AF294" i="26"/>
  <c r="BA294" i="26"/>
  <c r="BU294" i="26"/>
  <c r="E286" i="22"/>
  <c r="BU286" i="22"/>
  <c r="AY286" i="22"/>
  <c r="AF286" i="22"/>
  <c r="BA286" i="22"/>
  <c r="BU285" i="25"/>
  <c r="AF285" i="25"/>
  <c r="BA285" i="25"/>
  <c r="E285" i="25"/>
  <c r="AY285" i="25"/>
  <c r="BU294" i="19"/>
  <c r="AY294" i="19"/>
  <c r="AF294" i="19"/>
  <c r="BA294" i="19"/>
  <c r="E294" i="19"/>
  <c r="BA279" i="3"/>
  <c r="AY279" i="3"/>
  <c r="AF279" i="3"/>
  <c r="E279" i="3"/>
  <c r="BU279" i="3"/>
  <c r="E270" i="25"/>
  <c r="BU270" i="25"/>
  <c r="BA270" i="25"/>
  <c r="AF270" i="25"/>
  <c r="AY270" i="25"/>
  <c r="AF292" i="28"/>
  <c r="E292" i="28"/>
  <c r="AY292" i="28"/>
  <c r="BA292" i="28"/>
  <c r="BU292" i="28"/>
  <c r="BA265" i="21"/>
  <c r="AF265" i="21"/>
  <c r="AY265" i="21"/>
  <c r="E265" i="21"/>
  <c r="BU265" i="21"/>
  <c r="BA288" i="26"/>
  <c r="AY288" i="26"/>
  <c r="AF288" i="26"/>
  <c r="BU288" i="26"/>
  <c r="E288" i="26"/>
  <c r="BU282" i="22"/>
  <c r="E282" i="22"/>
  <c r="AY282" i="22"/>
  <c r="AF282" i="22"/>
  <c r="BA282" i="22"/>
  <c r="E286" i="28"/>
  <c r="BA286" i="28"/>
  <c r="BU286" i="28"/>
  <c r="AF286" i="28"/>
  <c r="AY286" i="28"/>
  <c r="BU293" i="23"/>
  <c r="BA293" i="23"/>
  <c r="E293" i="23"/>
  <c r="AY293" i="23"/>
  <c r="AF293" i="23"/>
  <c r="E277" i="3"/>
  <c r="AF277" i="3"/>
  <c r="BU277" i="3"/>
  <c r="BV277" i="3" s="1"/>
  <c r="BA277" i="3"/>
  <c r="AY277" i="3"/>
  <c r="E266" i="25"/>
  <c r="BU266" i="25"/>
  <c r="BA266" i="25"/>
  <c r="AF266" i="25"/>
  <c r="AY266" i="25"/>
  <c r="BU288" i="28"/>
  <c r="E288" i="28"/>
  <c r="AY288" i="28"/>
  <c r="BA288" i="28"/>
  <c r="AF288" i="28"/>
  <c r="BU292" i="19"/>
  <c r="E292" i="19"/>
  <c r="AY292" i="19"/>
  <c r="BA292" i="19"/>
  <c r="AF292" i="19"/>
  <c r="BA284" i="26"/>
  <c r="BU284" i="26"/>
  <c r="E284" i="26"/>
  <c r="AF284" i="26"/>
  <c r="AY284" i="26"/>
  <c r="BA277" i="20"/>
  <c r="E277" i="20"/>
  <c r="BU277" i="20"/>
  <c r="AY277" i="20"/>
  <c r="AF277" i="20"/>
  <c r="E282" i="28"/>
  <c r="AF282" i="28"/>
  <c r="BU282" i="28"/>
  <c r="BA282" i="28"/>
  <c r="AY282" i="28"/>
  <c r="BU289" i="23"/>
  <c r="BA289" i="23"/>
  <c r="AF289" i="23"/>
  <c r="AY289" i="23"/>
  <c r="E289" i="23"/>
  <c r="L42" i="18"/>
  <c r="M381" i="27"/>
  <c r="BU283" i="20"/>
  <c r="AY283" i="20"/>
  <c r="E283" i="20"/>
  <c r="BA283" i="20"/>
  <c r="AF283" i="20"/>
  <c r="E284" i="28"/>
  <c r="AY284" i="28"/>
  <c r="BA284" i="28"/>
  <c r="BU284" i="28"/>
  <c r="AF284" i="28"/>
  <c r="BA277" i="27"/>
  <c r="AF277" i="27"/>
  <c r="AY277" i="27"/>
  <c r="BU277" i="27"/>
  <c r="E277" i="27"/>
  <c r="BA290" i="19"/>
  <c r="BU290" i="19"/>
  <c r="E290" i="19"/>
  <c r="AY290" i="19"/>
  <c r="AF290" i="19"/>
  <c r="AY278" i="28"/>
  <c r="BA278" i="28"/>
  <c r="E278" i="28"/>
  <c r="AF278" i="28"/>
  <c r="BU278" i="28"/>
  <c r="E280" i="19"/>
  <c r="BU280" i="19"/>
  <c r="AF280" i="19"/>
  <c r="AY280" i="19"/>
  <c r="BA280" i="19"/>
  <c r="BV278" i="28" l="1"/>
  <c r="H278" i="28" s="1"/>
  <c r="BZ278" i="28" s="1"/>
  <c r="BV290" i="19"/>
  <c r="G290" i="19" s="1"/>
  <c r="BX290" i="19" s="1"/>
  <c r="BV284" i="28"/>
  <c r="G284" i="28" s="1"/>
  <c r="BX284" i="28" s="1"/>
  <c r="BV283" i="20"/>
  <c r="G283" i="20" s="1"/>
  <c r="BX283" i="20" s="1"/>
  <c r="BV266" i="25"/>
  <c r="G266" i="25" s="1"/>
  <c r="BX266" i="25" s="1"/>
  <c r="BV292" i="28"/>
  <c r="H292" i="28" s="1"/>
  <c r="BZ292" i="28" s="1"/>
  <c r="BV270" i="25"/>
  <c r="G270" i="25" s="1"/>
  <c r="BX270" i="25" s="1"/>
  <c r="BV285" i="25"/>
  <c r="G285" i="25" s="1"/>
  <c r="BX285" i="25" s="1"/>
  <c r="K30" i="18"/>
  <c r="J373" i="26"/>
  <c r="J374" i="26" s="1"/>
  <c r="BV271" i="27"/>
  <c r="H271" i="27" s="1"/>
  <c r="BZ271" i="27" s="1"/>
  <c r="BV278" i="23"/>
  <c r="G278" i="23" s="1"/>
  <c r="BX278" i="23" s="1"/>
  <c r="BV290" i="25"/>
  <c r="H290" i="25" s="1"/>
  <c r="BZ290" i="25" s="1"/>
  <c r="BV289" i="29"/>
  <c r="G289" i="29" s="1"/>
  <c r="BX289" i="29" s="1"/>
  <c r="BV287" i="21"/>
  <c r="G287" i="21" s="1"/>
  <c r="BX287" i="21" s="1"/>
  <c r="BV292" i="25"/>
  <c r="H292" i="25" s="1"/>
  <c r="BZ292" i="25" s="1"/>
  <c r="J373" i="23"/>
  <c r="J374" i="23" s="1"/>
  <c r="H30" i="18"/>
  <c r="BV267" i="21"/>
  <c r="G267" i="21" s="1"/>
  <c r="BX267" i="21" s="1"/>
  <c r="BV272" i="25"/>
  <c r="G272" i="25" s="1"/>
  <c r="BX272" i="25" s="1"/>
  <c r="E29" i="3"/>
  <c r="A29" i="3"/>
  <c r="A37" i="3"/>
  <c r="F37" i="3"/>
  <c r="BV271" i="21"/>
  <c r="G271" i="21" s="1"/>
  <c r="BX271" i="21" s="1"/>
  <c r="A33" i="21"/>
  <c r="F33" i="21"/>
  <c r="E33" i="21"/>
  <c r="E43" i="21"/>
  <c r="A43" i="21"/>
  <c r="BV278" i="21"/>
  <c r="G278" i="21" s="1"/>
  <c r="BX278" i="21" s="1"/>
  <c r="E39" i="25"/>
  <c r="F39" i="25"/>
  <c r="A39" i="25"/>
  <c r="BV288" i="23"/>
  <c r="G288" i="23" s="1"/>
  <c r="BX288" i="23" s="1"/>
  <c r="A43" i="28"/>
  <c r="E43" i="28"/>
  <c r="BV290" i="20"/>
  <c r="G290" i="20" s="1"/>
  <c r="BX290" i="20" s="1"/>
  <c r="BV267" i="24"/>
  <c r="G267" i="24" s="1"/>
  <c r="BX267" i="24" s="1"/>
  <c r="BV265" i="24"/>
  <c r="G265" i="24" s="1"/>
  <c r="BX265" i="24" s="1"/>
  <c r="BV271" i="24"/>
  <c r="H271" i="24" s="1"/>
  <c r="BZ271" i="24" s="1"/>
  <c r="A36" i="22"/>
  <c r="E36" i="22"/>
  <c r="A29" i="22"/>
  <c r="E29" i="22"/>
  <c r="BV288" i="27"/>
  <c r="H288" i="27" s="1"/>
  <c r="BZ288" i="27" s="1"/>
  <c r="BV284" i="23"/>
  <c r="H284" i="23" s="1"/>
  <c r="BZ284" i="23" s="1"/>
  <c r="Q32" i="25"/>
  <c r="I32" i="25" s="1"/>
  <c r="J152" i="25"/>
  <c r="BU264" i="25"/>
  <c r="AY264" i="25"/>
  <c r="E264" i="25"/>
  <c r="AF264" i="25"/>
  <c r="BA264" i="25"/>
  <c r="Q34" i="25"/>
  <c r="I34" i="25" s="1"/>
  <c r="BV266" i="27"/>
  <c r="H266" i="27" s="1"/>
  <c r="BZ266" i="27" s="1"/>
  <c r="BV274" i="24"/>
  <c r="H274" i="24" s="1"/>
  <c r="BZ274" i="24" s="1"/>
  <c r="F39" i="27"/>
  <c r="A39" i="27"/>
  <c r="E39" i="27"/>
  <c r="BV267" i="22"/>
  <c r="G267" i="22" s="1"/>
  <c r="BX267" i="22" s="1"/>
  <c r="E35" i="19"/>
  <c r="F35" i="19"/>
  <c r="A35" i="19"/>
  <c r="F37" i="19"/>
  <c r="A37" i="19"/>
  <c r="BV281" i="24"/>
  <c r="G281" i="24" s="1"/>
  <c r="BX281" i="24" s="1"/>
  <c r="BA264" i="29"/>
  <c r="J152" i="29"/>
  <c r="AY264" i="29"/>
  <c r="Q32" i="29"/>
  <c r="I32" i="29" s="1"/>
  <c r="Q34" i="29"/>
  <c r="I34" i="29" s="1"/>
  <c r="BU264" i="29"/>
  <c r="E264" i="29"/>
  <c r="AF264" i="29"/>
  <c r="BV269" i="28"/>
  <c r="H269" i="28" s="1"/>
  <c r="BZ269" i="28" s="1"/>
  <c r="BV292" i="29"/>
  <c r="H292" i="29" s="1"/>
  <c r="BZ292" i="29" s="1"/>
  <c r="BV286" i="29"/>
  <c r="G286" i="29" s="1"/>
  <c r="BX286" i="29" s="1"/>
  <c r="BV280" i="24"/>
  <c r="G280" i="24" s="1"/>
  <c r="BX280" i="24" s="1"/>
  <c r="BV277" i="28"/>
  <c r="G277" i="28" s="1"/>
  <c r="BX277" i="28" s="1"/>
  <c r="J373" i="20"/>
  <c r="J374" i="20" s="1"/>
  <c r="E30" i="18"/>
  <c r="E30" i="29"/>
  <c r="A30" i="29"/>
  <c r="E31" i="29"/>
  <c r="A31" i="29"/>
  <c r="BV288" i="20"/>
  <c r="G288" i="20" s="1"/>
  <c r="BX288" i="20" s="1"/>
  <c r="BV268" i="26"/>
  <c r="G268" i="26" s="1"/>
  <c r="BX268" i="26" s="1"/>
  <c r="BV288" i="21"/>
  <c r="H288" i="21" s="1"/>
  <c r="BZ288" i="21" s="1"/>
  <c r="BV267" i="25"/>
  <c r="G267" i="25" s="1"/>
  <c r="BX267" i="25" s="1"/>
  <c r="BV274" i="29"/>
  <c r="H274" i="29" s="1"/>
  <c r="BZ274" i="29" s="1"/>
  <c r="A36" i="23"/>
  <c r="E36" i="23"/>
  <c r="F39" i="23"/>
  <c r="A39" i="23"/>
  <c r="E39" i="23"/>
  <c r="BV289" i="19"/>
  <c r="H289" i="19" s="1"/>
  <c r="BZ289" i="19" s="1"/>
  <c r="BV269" i="22"/>
  <c r="H269" i="22" s="1"/>
  <c r="BZ269" i="22" s="1"/>
  <c r="A35" i="26"/>
  <c r="E35" i="26"/>
  <c r="F35" i="26"/>
  <c r="A43" i="26"/>
  <c r="E43" i="26"/>
  <c r="BV287" i="22"/>
  <c r="G287" i="22" s="1"/>
  <c r="BX287" i="22" s="1"/>
  <c r="E41" i="20"/>
  <c r="A41" i="20"/>
  <c r="F35" i="20"/>
  <c r="E35" i="20"/>
  <c r="A35" i="20"/>
  <c r="BV292" i="22"/>
  <c r="H292" i="22" s="1"/>
  <c r="BZ292" i="22" s="1"/>
  <c r="BV270" i="28"/>
  <c r="H270" i="28" s="1"/>
  <c r="BZ270" i="28" s="1"/>
  <c r="BV285" i="20"/>
  <c r="H285" i="20" s="1"/>
  <c r="BZ285" i="20" s="1"/>
  <c r="BV269" i="25"/>
  <c r="H269" i="25" s="1"/>
  <c r="BZ269" i="25" s="1"/>
  <c r="BV275" i="23"/>
  <c r="G275" i="23" s="1"/>
  <c r="BX275" i="23" s="1"/>
  <c r="BV287" i="25"/>
  <c r="H287" i="25" s="1"/>
  <c r="BZ287" i="25" s="1"/>
  <c r="Q32" i="3"/>
  <c r="I32" i="3" s="1"/>
  <c r="AV264" i="3"/>
  <c r="BE264" i="3"/>
  <c r="AT264" i="3"/>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Q34" i="3"/>
  <c r="BA264" i="3"/>
  <c r="BB264" i="3" s="1"/>
  <c r="AF264" i="3"/>
  <c r="AY264" i="3"/>
  <c r="E264" i="3"/>
  <c r="BU264" i="3"/>
  <c r="BG264" i="3"/>
  <c r="BG265" i="3" s="1"/>
  <c r="BG266" i="3" s="1"/>
  <c r="BG267" i="3" s="1"/>
  <c r="BG268" i="3" s="1"/>
  <c r="BG269" i="3" s="1"/>
  <c r="BG270" i="3" s="1"/>
  <c r="BG271" i="3" s="1"/>
  <c r="BG272" i="3" s="1"/>
  <c r="BG273" i="3" s="1"/>
  <c r="BG274" i="3" s="1"/>
  <c r="BG275" i="3" s="1"/>
  <c r="BG276" i="3" s="1"/>
  <c r="BG277" i="3" s="1"/>
  <c r="BG278" i="3" s="1"/>
  <c r="BG279" i="3" s="1"/>
  <c r="BG280" i="3" s="1"/>
  <c r="BG281" i="3" s="1"/>
  <c r="BG282" i="3" s="1"/>
  <c r="BG283" i="3" s="1"/>
  <c r="BG284" i="3" s="1"/>
  <c r="BG285" i="3" s="1"/>
  <c r="BG286" i="3" s="1"/>
  <c r="BG287" i="3" s="1"/>
  <c r="BG288" i="3" s="1"/>
  <c r="BG289" i="3" s="1"/>
  <c r="BG290" i="3" s="1"/>
  <c r="BG291" i="3" s="1"/>
  <c r="BG292" i="3" s="1"/>
  <c r="BG293" i="3" s="1"/>
  <c r="BG294" i="3" s="1"/>
  <c r="BG295" i="3" s="1"/>
  <c r="BG263" i="19" s="1"/>
  <c r="BG264" i="19" s="1"/>
  <c r="BG265" i="19" s="1"/>
  <c r="BG266" i="19" s="1"/>
  <c r="BG267" i="19" s="1"/>
  <c r="BG268" i="19" s="1"/>
  <c r="BG269" i="19" s="1"/>
  <c r="BG270" i="19" s="1"/>
  <c r="BG271" i="19" s="1"/>
  <c r="BG272" i="19" s="1"/>
  <c r="BG273" i="19" s="1"/>
  <c r="BG274" i="19" s="1"/>
  <c r="BG275" i="19" s="1"/>
  <c r="BG276" i="19" s="1"/>
  <c r="BG277" i="19" s="1"/>
  <c r="BG278" i="19" s="1"/>
  <c r="BG279" i="19" s="1"/>
  <c r="BG280" i="19" s="1"/>
  <c r="BG281" i="19" s="1"/>
  <c r="BG282" i="19" s="1"/>
  <c r="BG283" i="19" s="1"/>
  <c r="BG284" i="19" s="1"/>
  <c r="BG285" i="19" s="1"/>
  <c r="BG286" i="19" s="1"/>
  <c r="BG287" i="19" s="1"/>
  <c r="BG288" i="19" s="1"/>
  <c r="BG289" i="19" s="1"/>
  <c r="BG290" i="19" s="1"/>
  <c r="BG291" i="19" s="1"/>
  <c r="BG292" i="19" s="1"/>
  <c r="BG293" i="19" s="1"/>
  <c r="BG294" i="19" s="1"/>
  <c r="BG295" i="19" s="1"/>
  <c r="BG263" i="20" s="1"/>
  <c r="BG264" i="20" s="1"/>
  <c r="BG265" i="20" s="1"/>
  <c r="BG266" i="20" s="1"/>
  <c r="BG267" i="20" s="1"/>
  <c r="BG268" i="20" s="1"/>
  <c r="BG269" i="20" s="1"/>
  <c r="BG270" i="20" s="1"/>
  <c r="BG271" i="20" s="1"/>
  <c r="BG272" i="20" s="1"/>
  <c r="BG273" i="20" s="1"/>
  <c r="BG274" i="20" s="1"/>
  <c r="BG275" i="20" s="1"/>
  <c r="BG276" i="20" s="1"/>
  <c r="BG277" i="20" s="1"/>
  <c r="BG278" i="20" s="1"/>
  <c r="BG279" i="20" s="1"/>
  <c r="BG280" i="20" s="1"/>
  <c r="BG281" i="20" s="1"/>
  <c r="BG282" i="20" s="1"/>
  <c r="BG283" i="20" s="1"/>
  <c r="BG284" i="20" s="1"/>
  <c r="BG285" i="20" s="1"/>
  <c r="BG286" i="20" s="1"/>
  <c r="BG287" i="20" s="1"/>
  <c r="BG288" i="20" s="1"/>
  <c r="BG289" i="20" s="1"/>
  <c r="BG290" i="20" s="1"/>
  <c r="BG291" i="20" s="1"/>
  <c r="BG292" i="20" s="1"/>
  <c r="BG293" i="20" s="1"/>
  <c r="BG294" i="20" s="1"/>
  <c r="BG295" i="20" s="1"/>
  <c r="BG263" i="21" s="1"/>
  <c r="BG264" i="21" s="1"/>
  <c r="BG265" i="21" s="1"/>
  <c r="BG266" i="21" s="1"/>
  <c r="BG267" i="21" s="1"/>
  <c r="BG268" i="21" s="1"/>
  <c r="BG269" i="21" s="1"/>
  <c r="BG270" i="21" s="1"/>
  <c r="BG271" i="21" s="1"/>
  <c r="BG272" i="21" s="1"/>
  <c r="BG273" i="21" s="1"/>
  <c r="BG274" i="21" s="1"/>
  <c r="BG275" i="21" s="1"/>
  <c r="BG276" i="21" s="1"/>
  <c r="BG277" i="21" s="1"/>
  <c r="BG278" i="21" s="1"/>
  <c r="BG279" i="21" s="1"/>
  <c r="BG280" i="21" s="1"/>
  <c r="BG281" i="21" s="1"/>
  <c r="BG282" i="21" s="1"/>
  <c r="BG283" i="21" s="1"/>
  <c r="BG284" i="21" s="1"/>
  <c r="BG285" i="21" s="1"/>
  <c r="BG286" i="21" s="1"/>
  <c r="BG287" i="21" s="1"/>
  <c r="BG288" i="21" s="1"/>
  <c r="BG289" i="21" s="1"/>
  <c r="BG290" i="21" s="1"/>
  <c r="BG291" i="21" s="1"/>
  <c r="BG292" i="21" s="1"/>
  <c r="BG293" i="21" s="1"/>
  <c r="BG294" i="21" s="1"/>
  <c r="BG295" i="21" s="1"/>
  <c r="BG263" i="22" s="1"/>
  <c r="BG264" i="22" s="1"/>
  <c r="BG265" i="22" s="1"/>
  <c r="BG266" i="22" s="1"/>
  <c r="BG267" i="22" s="1"/>
  <c r="BG268" i="22" s="1"/>
  <c r="BG269" i="22" s="1"/>
  <c r="BG270" i="22" s="1"/>
  <c r="BG271" i="22" s="1"/>
  <c r="BG272" i="22" s="1"/>
  <c r="BG273" i="22" s="1"/>
  <c r="BG274" i="22" s="1"/>
  <c r="BG275" i="22" s="1"/>
  <c r="BG276" i="22" s="1"/>
  <c r="BG277" i="22" s="1"/>
  <c r="BG278" i="22" s="1"/>
  <c r="BG279" i="22" s="1"/>
  <c r="BG280" i="22" s="1"/>
  <c r="BG281" i="22" s="1"/>
  <c r="BG282" i="22" s="1"/>
  <c r="BG283" i="22" s="1"/>
  <c r="BG284" i="22" s="1"/>
  <c r="BG285" i="22" s="1"/>
  <c r="BG286" i="22" s="1"/>
  <c r="BG287" i="22" s="1"/>
  <c r="BG288" i="22" s="1"/>
  <c r="BG289" i="22" s="1"/>
  <c r="BG290" i="22" s="1"/>
  <c r="BG291" i="22" s="1"/>
  <c r="BG292" i="22" s="1"/>
  <c r="BG293" i="22" s="1"/>
  <c r="BG294" i="22" s="1"/>
  <c r="BG295" i="22" s="1"/>
  <c r="BG263" i="23" s="1"/>
  <c r="BG264" i="23" s="1"/>
  <c r="BG265" i="23" s="1"/>
  <c r="BG266" i="23" s="1"/>
  <c r="BG267" i="23" s="1"/>
  <c r="BG268" i="23" s="1"/>
  <c r="BG269" i="23" s="1"/>
  <c r="BG270" i="23" s="1"/>
  <c r="BG271" i="23" s="1"/>
  <c r="BG272" i="23" s="1"/>
  <c r="BG273" i="23" s="1"/>
  <c r="BG274" i="23" s="1"/>
  <c r="BG275" i="23" s="1"/>
  <c r="BG276" i="23" s="1"/>
  <c r="BG277" i="23" s="1"/>
  <c r="BG278" i="23" s="1"/>
  <c r="BG279" i="23" s="1"/>
  <c r="BG280" i="23" s="1"/>
  <c r="BG281" i="23" s="1"/>
  <c r="BG282" i="23" s="1"/>
  <c r="BG283" i="23" s="1"/>
  <c r="BG284" i="23" s="1"/>
  <c r="BG285" i="23" s="1"/>
  <c r="BG286" i="23" s="1"/>
  <c r="BG287" i="23" s="1"/>
  <c r="BG288" i="23" s="1"/>
  <c r="BG289" i="23" s="1"/>
  <c r="BG290" i="23" s="1"/>
  <c r="BG291" i="23" s="1"/>
  <c r="BG292" i="23" s="1"/>
  <c r="BG293" i="23" s="1"/>
  <c r="BG294" i="23" s="1"/>
  <c r="BG295" i="23" s="1"/>
  <c r="BG263" i="24" s="1"/>
  <c r="BG264" i="24" s="1"/>
  <c r="BG265" i="24" s="1"/>
  <c r="BG266" i="24" s="1"/>
  <c r="BG267" i="24" s="1"/>
  <c r="BG268" i="24" s="1"/>
  <c r="BG269" i="24" s="1"/>
  <c r="BG270" i="24" s="1"/>
  <c r="BG271" i="24" s="1"/>
  <c r="BG272" i="24" s="1"/>
  <c r="BG273" i="24" s="1"/>
  <c r="BG274" i="24" s="1"/>
  <c r="BG275" i="24" s="1"/>
  <c r="BG276" i="24" s="1"/>
  <c r="BG277" i="24" s="1"/>
  <c r="BG278" i="24" s="1"/>
  <c r="BG279" i="24" s="1"/>
  <c r="BG280" i="24" s="1"/>
  <c r="BG281" i="24" s="1"/>
  <c r="BG282" i="24" s="1"/>
  <c r="BG283" i="24" s="1"/>
  <c r="BG284" i="24" s="1"/>
  <c r="BG285" i="24" s="1"/>
  <c r="BG286" i="24" s="1"/>
  <c r="BG287" i="24" s="1"/>
  <c r="BG288" i="24" s="1"/>
  <c r="BG289" i="24" s="1"/>
  <c r="BG290" i="24" s="1"/>
  <c r="BG291" i="24" s="1"/>
  <c r="BG292" i="24" s="1"/>
  <c r="BG293" i="24" s="1"/>
  <c r="BG294" i="24" s="1"/>
  <c r="BG295" i="24" s="1"/>
  <c r="BG263" i="25" s="1"/>
  <c r="BG264" i="25" s="1"/>
  <c r="BG265" i="25" s="1"/>
  <c r="BG266" i="25" s="1"/>
  <c r="BG267" i="25" s="1"/>
  <c r="BG268" i="25" s="1"/>
  <c r="BG269" i="25" s="1"/>
  <c r="BG270" i="25" s="1"/>
  <c r="BG271" i="25" s="1"/>
  <c r="BG272" i="25" s="1"/>
  <c r="BG273" i="25" s="1"/>
  <c r="BG274" i="25" s="1"/>
  <c r="BG275" i="25" s="1"/>
  <c r="BG276" i="25" s="1"/>
  <c r="BG277" i="25" s="1"/>
  <c r="BG278" i="25" s="1"/>
  <c r="BG279" i="25" s="1"/>
  <c r="BG280" i="25" s="1"/>
  <c r="BG281" i="25" s="1"/>
  <c r="BG282" i="25" s="1"/>
  <c r="BG283" i="25" s="1"/>
  <c r="BG284" i="25" s="1"/>
  <c r="BG285" i="25" s="1"/>
  <c r="BG286" i="25" s="1"/>
  <c r="BG287" i="25" s="1"/>
  <c r="BG288" i="25" s="1"/>
  <c r="BG289" i="25" s="1"/>
  <c r="BG290" i="25" s="1"/>
  <c r="BG291" i="25" s="1"/>
  <c r="BG292" i="25" s="1"/>
  <c r="BG293" i="25" s="1"/>
  <c r="BG294" i="25" s="1"/>
  <c r="BG295" i="25" s="1"/>
  <c r="BG263" i="26" s="1"/>
  <c r="BG264" i="26" s="1"/>
  <c r="BG265" i="26" s="1"/>
  <c r="BG266" i="26" s="1"/>
  <c r="BG267" i="26" s="1"/>
  <c r="BG268" i="26" s="1"/>
  <c r="BG269" i="26" s="1"/>
  <c r="BG270" i="26" s="1"/>
  <c r="BG271" i="26" s="1"/>
  <c r="BG272" i="26" s="1"/>
  <c r="BG273" i="26" s="1"/>
  <c r="BG274" i="26" s="1"/>
  <c r="BG275" i="26" s="1"/>
  <c r="BG276" i="26" s="1"/>
  <c r="BG277" i="26" s="1"/>
  <c r="BG278" i="26" s="1"/>
  <c r="BG279" i="26" s="1"/>
  <c r="BG280" i="26" s="1"/>
  <c r="BG281" i="26" s="1"/>
  <c r="BG282" i="26" s="1"/>
  <c r="BG283" i="26" s="1"/>
  <c r="BG284" i="26" s="1"/>
  <c r="BG285" i="26" s="1"/>
  <c r="BG286" i="26" s="1"/>
  <c r="BG287" i="26" s="1"/>
  <c r="BG288" i="26" s="1"/>
  <c r="BG289" i="26" s="1"/>
  <c r="BG290" i="26" s="1"/>
  <c r="BG291" i="26" s="1"/>
  <c r="BG292" i="26" s="1"/>
  <c r="BG293" i="26" s="1"/>
  <c r="BG294" i="26" s="1"/>
  <c r="BG295" i="26" s="1"/>
  <c r="BG263" i="27" s="1"/>
  <c r="BG264" i="27" s="1"/>
  <c r="BG265" i="27" s="1"/>
  <c r="BG266" i="27" s="1"/>
  <c r="BG267" i="27" s="1"/>
  <c r="BG268" i="27" s="1"/>
  <c r="BG269" i="27" s="1"/>
  <c r="BG270" i="27" s="1"/>
  <c r="BG271" i="27" s="1"/>
  <c r="BG272" i="27" s="1"/>
  <c r="BG273" i="27" s="1"/>
  <c r="BG274" i="27" s="1"/>
  <c r="BG275" i="27" s="1"/>
  <c r="BG276" i="27" s="1"/>
  <c r="BG277" i="27" s="1"/>
  <c r="BG278" i="27" s="1"/>
  <c r="BG279" i="27" s="1"/>
  <c r="BG280" i="27" s="1"/>
  <c r="BG281" i="27" s="1"/>
  <c r="BG282" i="27" s="1"/>
  <c r="BG283" i="27" s="1"/>
  <c r="BG284" i="27" s="1"/>
  <c r="BG285" i="27" s="1"/>
  <c r="BG286" i="27" s="1"/>
  <c r="BG287" i="27" s="1"/>
  <c r="BG288" i="27" s="1"/>
  <c r="BG289" i="27" s="1"/>
  <c r="BG290" i="27" s="1"/>
  <c r="BG291" i="27" s="1"/>
  <c r="BG292" i="27" s="1"/>
  <c r="BG293" i="27" s="1"/>
  <c r="BG294" i="27" s="1"/>
  <c r="BG295" i="27" s="1"/>
  <c r="BG263" i="28" s="1"/>
  <c r="BG264" i="28" s="1"/>
  <c r="BG265" i="28" s="1"/>
  <c r="BG266" i="28" s="1"/>
  <c r="BG267" i="28" s="1"/>
  <c r="BG268" i="28" s="1"/>
  <c r="BG269" i="28" s="1"/>
  <c r="BG270" i="28" s="1"/>
  <c r="BG271" i="28" s="1"/>
  <c r="BG272" i="28" s="1"/>
  <c r="BG273" i="28" s="1"/>
  <c r="BG274" i="28" s="1"/>
  <c r="BG275" i="28" s="1"/>
  <c r="BG276" i="28" s="1"/>
  <c r="BG277" i="28" s="1"/>
  <c r="BG278" i="28" s="1"/>
  <c r="BG279" i="28" s="1"/>
  <c r="BG280" i="28" s="1"/>
  <c r="BG281" i="28" s="1"/>
  <c r="BG282" i="28" s="1"/>
  <c r="BG283" i="28" s="1"/>
  <c r="BG284" i="28" s="1"/>
  <c r="BG285" i="28" s="1"/>
  <c r="BG286" i="28" s="1"/>
  <c r="BG287" i="28" s="1"/>
  <c r="BG288" i="28" s="1"/>
  <c r="BG289" i="28" s="1"/>
  <c r="BG290" i="28" s="1"/>
  <c r="BG291" i="28" s="1"/>
  <c r="BG292" i="28" s="1"/>
  <c r="BG293" i="28" s="1"/>
  <c r="BG294" i="28" s="1"/>
  <c r="BG295" i="28" s="1"/>
  <c r="BG263" i="29" s="1"/>
  <c r="BG264" i="29" s="1"/>
  <c r="BG265" i="29" s="1"/>
  <c r="BG266" i="29" s="1"/>
  <c r="BG267" i="29" s="1"/>
  <c r="BG268" i="29" s="1"/>
  <c r="BG269" i="29" s="1"/>
  <c r="BG270" i="29" s="1"/>
  <c r="BG271" i="29" s="1"/>
  <c r="BG272" i="29" s="1"/>
  <c r="BG273" i="29" s="1"/>
  <c r="BG274" i="29" s="1"/>
  <c r="BG275" i="29" s="1"/>
  <c r="BG276" i="29" s="1"/>
  <c r="BG277" i="29" s="1"/>
  <c r="BG278" i="29" s="1"/>
  <c r="BG279" i="29" s="1"/>
  <c r="BG280" i="29" s="1"/>
  <c r="BG281" i="29" s="1"/>
  <c r="BG282" i="29" s="1"/>
  <c r="BG283" i="29" s="1"/>
  <c r="BG284" i="29" s="1"/>
  <c r="BG285" i="29" s="1"/>
  <c r="BG286" i="29" s="1"/>
  <c r="BG287" i="29" s="1"/>
  <c r="BG288" i="29" s="1"/>
  <c r="BG289" i="29" s="1"/>
  <c r="BG290" i="29" s="1"/>
  <c r="BG291" i="29" s="1"/>
  <c r="BG292" i="29" s="1"/>
  <c r="BG293" i="29" s="1"/>
  <c r="BG294" i="29" s="1"/>
  <c r="BG295" i="29" s="1"/>
  <c r="C17" i="15" s="1"/>
  <c r="A30" i="24"/>
  <c r="E30" i="24"/>
  <c r="BV280" i="19"/>
  <c r="H280" i="19" s="1"/>
  <c r="BZ280" i="19" s="1"/>
  <c r="BV284" i="26"/>
  <c r="H284" i="26" s="1"/>
  <c r="BZ284" i="26" s="1"/>
  <c r="BV267" i="29"/>
  <c r="H267" i="29" s="1"/>
  <c r="BZ267" i="29" s="1"/>
  <c r="BV275" i="26"/>
  <c r="H275" i="26" s="1"/>
  <c r="BZ275" i="26" s="1"/>
  <c r="BV267" i="27"/>
  <c r="H267" i="27" s="1"/>
  <c r="BZ267" i="27" s="1"/>
  <c r="E264" i="26"/>
  <c r="BA264" i="26"/>
  <c r="BU264" i="26"/>
  <c r="J152" i="26"/>
  <c r="AY264" i="26"/>
  <c r="Q32" i="26"/>
  <c r="I32" i="26" s="1"/>
  <c r="Q34" i="26"/>
  <c r="I34" i="26" s="1"/>
  <c r="AF264" i="26"/>
  <c r="BV274" i="28"/>
  <c r="G274" i="28" s="1"/>
  <c r="BX274" i="28" s="1"/>
  <c r="BV288" i="25"/>
  <c r="H288" i="25" s="1"/>
  <c r="BZ288" i="25" s="1"/>
  <c r="BV287" i="29"/>
  <c r="H287" i="29" s="1"/>
  <c r="BZ287" i="29" s="1"/>
  <c r="BV285" i="3"/>
  <c r="H285" i="3" s="1"/>
  <c r="BZ285" i="3" s="1"/>
  <c r="BV290" i="28"/>
  <c r="H290" i="28" s="1"/>
  <c r="BZ290" i="28" s="1"/>
  <c r="F33" i="3"/>
  <c r="E33" i="3"/>
  <c r="A33" i="3"/>
  <c r="A36" i="3"/>
  <c r="E36" i="3"/>
  <c r="BV276" i="25"/>
  <c r="H276" i="25" s="1"/>
  <c r="BZ276" i="25" s="1"/>
  <c r="BV283" i="24"/>
  <c r="G283" i="24" s="1"/>
  <c r="BX283" i="24" s="1"/>
  <c r="BV279" i="21"/>
  <c r="G279" i="21" s="1"/>
  <c r="BX279" i="21" s="1"/>
  <c r="BV285" i="26"/>
  <c r="G285" i="26" s="1"/>
  <c r="BX285" i="26" s="1"/>
  <c r="BV291" i="26"/>
  <c r="G291" i="26" s="1"/>
  <c r="BX291" i="26" s="1"/>
  <c r="A37" i="21"/>
  <c r="F37" i="21"/>
  <c r="E41" i="21"/>
  <c r="A41" i="21"/>
  <c r="A28" i="25"/>
  <c r="E28" i="25"/>
  <c r="A35" i="25"/>
  <c r="F35" i="25"/>
  <c r="E35" i="25"/>
  <c r="A36" i="28"/>
  <c r="E36" i="28"/>
  <c r="BV293" i="26"/>
  <c r="H293" i="26" s="1"/>
  <c r="BZ293" i="26" s="1"/>
  <c r="BV292" i="23"/>
  <c r="H292" i="23" s="1"/>
  <c r="BZ292" i="23" s="1"/>
  <c r="BV265" i="26"/>
  <c r="G265" i="26" s="1"/>
  <c r="BX265" i="26" s="1"/>
  <c r="A41" i="22"/>
  <c r="E41" i="22"/>
  <c r="BV275" i="24"/>
  <c r="H275" i="24" s="1"/>
  <c r="BZ275" i="24" s="1"/>
  <c r="BV280" i="3"/>
  <c r="H280" i="3" s="1"/>
  <c r="BZ280" i="3" s="1"/>
  <c r="BV271" i="28"/>
  <c r="G271" i="28" s="1"/>
  <c r="BX271" i="28" s="1"/>
  <c r="BV272" i="24"/>
  <c r="H272" i="24" s="1"/>
  <c r="BZ272" i="24" s="1"/>
  <c r="BV286" i="21"/>
  <c r="H286" i="21" s="1"/>
  <c r="BZ286" i="21" s="1"/>
  <c r="BV270" i="24"/>
  <c r="H270" i="24" s="1"/>
  <c r="BZ270" i="24" s="1"/>
  <c r="BV269" i="24"/>
  <c r="G269" i="24" s="1"/>
  <c r="BX269" i="24" s="1"/>
  <c r="A36" i="27"/>
  <c r="E36" i="27"/>
  <c r="BV294" i="21"/>
  <c r="G294" i="21" s="1"/>
  <c r="BX294" i="21" s="1"/>
  <c r="BV280" i="27"/>
  <c r="G280" i="27" s="1"/>
  <c r="BX280" i="27" s="1"/>
  <c r="BV282" i="3"/>
  <c r="G282" i="3" s="1"/>
  <c r="BX282" i="3" s="1"/>
  <c r="A31" i="19"/>
  <c r="E31" i="19"/>
  <c r="N30" i="18"/>
  <c r="J373" i="29"/>
  <c r="J374" i="29" s="1"/>
  <c r="BV285" i="24"/>
  <c r="H285" i="24" s="1"/>
  <c r="BZ285" i="24" s="1"/>
  <c r="BV293" i="25"/>
  <c r="G293" i="25" s="1"/>
  <c r="BX293" i="25" s="1"/>
  <c r="BV281" i="25"/>
  <c r="H281" i="25" s="1"/>
  <c r="BZ281" i="25" s="1"/>
  <c r="BV290" i="26"/>
  <c r="H290" i="26" s="1"/>
  <c r="BZ290" i="26" s="1"/>
  <c r="BV284" i="20"/>
  <c r="H284" i="20" s="1"/>
  <c r="BZ284" i="20" s="1"/>
  <c r="J152" i="20"/>
  <c r="Q32" i="20"/>
  <c r="I32" i="20" s="1"/>
  <c r="Q34" i="20"/>
  <c r="I34" i="20" s="1"/>
  <c r="AF264" i="20"/>
  <c r="E264" i="20"/>
  <c r="BA264" i="20"/>
  <c r="BU264" i="20"/>
  <c r="AY264" i="20"/>
  <c r="BV281" i="28"/>
  <c r="H281" i="28" s="1"/>
  <c r="BZ281" i="28" s="1"/>
  <c r="BV293" i="20"/>
  <c r="G293" i="20" s="1"/>
  <c r="BX293" i="20" s="1"/>
  <c r="E27" i="29"/>
  <c r="I27" i="29"/>
  <c r="A27" i="29"/>
  <c r="BV285" i="28"/>
  <c r="G285" i="28" s="1"/>
  <c r="BX285" i="28" s="1"/>
  <c r="BV270" i="29"/>
  <c r="G270" i="29" s="1"/>
  <c r="BX270" i="29" s="1"/>
  <c r="BV273" i="19"/>
  <c r="H273" i="19" s="1"/>
  <c r="BZ273" i="19" s="1"/>
  <c r="D100" i="18"/>
  <c r="M446" i="19"/>
  <c r="E35" i="23"/>
  <c r="F35" i="23"/>
  <c r="A35" i="23"/>
  <c r="E31" i="26"/>
  <c r="A31" i="26"/>
  <c r="E29" i="26"/>
  <c r="A29" i="26"/>
  <c r="BV289" i="27"/>
  <c r="G289" i="27" s="1"/>
  <c r="BX289" i="27" s="1"/>
  <c r="A29" i="20"/>
  <c r="E29" i="20"/>
  <c r="E38" i="20"/>
  <c r="A38" i="20"/>
  <c r="BV266" i="28"/>
  <c r="H266" i="28" s="1"/>
  <c r="BZ266" i="28" s="1"/>
  <c r="BU264" i="24"/>
  <c r="J152" i="24"/>
  <c r="AY264" i="24"/>
  <c r="AF264" i="24"/>
  <c r="Q32" i="24"/>
  <c r="I32" i="24" s="1"/>
  <c r="Q34" i="24"/>
  <c r="I34" i="24" s="1"/>
  <c r="E264" i="24"/>
  <c r="BA264" i="24"/>
  <c r="BV276" i="22"/>
  <c r="H276" i="22" s="1"/>
  <c r="BZ276" i="22" s="1"/>
  <c r="BV289" i="20"/>
  <c r="H289" i="20" s="1"/>
  <c r="BZ289" i="20" s="1"/>
  <c r="BV280" i="26"/>
  <c r="G280" i="26" s="1"/>
  <c r="BX280" i="26" s="1"/>
  <c r="BV285" i="27"/>
  <c r="H285" i="27" s="1"/>
  <c r="BZ285" i="27" s="1"/>
  <c r="BV279" i="20"/>
  <c r="G279" i="20" s="1"/>
  <c r="BV273" i="20"/>
  <c r="G273" i="20" s="1"/>
  <c r="E35" i="24"/>
  <c r="F35" i="24"/>
  <c r="A35" i="24"/>
  <c r="BV283" i="23"/>
  <c r="G283" i="23" s="1"/>
  <c r="BX283" i="23" s="1"/>
  <c r="BV282" i="25"/>
  <c r="H282" i="25" s="1"/>
  <c r="BZ282" i="25" s="1"/>
  <c r="BV281" i="20"/>
  <c r="H281" i="20" s="1"/>
  <c r="BZ281" i="20" s="1"/>
  <c r="BV279" i="29"/>
  <c r="G279" i="29" s="1"/>
  <c r="BX279" i="29" s="1"/>
  <c r="BV282" i="19"/>
  <c r="H282" i="19" s="1"/>
  <c r="BZ282" i="19" s="1"/>
  <c r="BV292" i="24"/>
  <c r="H292" i="24" s="1"/>
  <c r="BZ292" i="24" s="1"/>
  <c r="BV289" i="23"/>
  <c r="H289" i="23" s="1"/>
  <c r="BZ289" i="23" s="1"/>
  <c r="BV279" i="3"/>
  <c r="G279" i="3" s="1"/>
  <c r="CH279" i="3" s="1"/>
  <c r="BV286" i="25"/>
  <c r="G286" i="25" s="1"/>
  <c r="BX286" i="25" s="1"/>
  <c r="M446" i="26"/>
  <c r="K100" i="18"/>
  <c r="BV285" i="23"/>
  <c r="G285" i="23" s="1"/>
  <c r="BX285" i="23" s="1"/>
  <c r="BV289" i="21"/>
  <c r="H289" i="21" s="1"/>
  <c r="BZ289" i="21" s="1"/>
  <c r="BV267" i="26"/>
  <c r="G267" i="26" s="1"/>
  <c r="BX267" i="26" s="1"/>
  <c r="BV287" i="3"/>
  <c r="G287" i="3" s="1"/>
  <c r="CC287" i="3" s="1"/>
  <c r="BV274" i="23"/>
  <c r="E30" i="3"/>
  <c r="A30" i="3"/>
  <c r="E43" i="3"/>
  <c r="A43" i="3"/>
  <c r="A38" i="21"/>
  <c r="E38" i="21"/>
  <c r="A43" i="25"/>
  <c r="E43" i="25"/>
  <c r="F37" i="28"/>
  <c r="A37" i="28"/>
  <c r="A39" i="28"/>
  <c r="E39" i="28"/>
  <c r="F39" i="28"/>
  <c r="M446" i="24"/>
  <c r="I100" i="18"/>
  <c r="J100" i="18"/>
  <c r="M446" i="25"/>
  <c r="A38" i="22"/>
  <c r="E38" i="22"/>
  <c r="BV279" i="28"/>
  <c r="H279" i="28" s="1"/>
  <c r="BZ279" i="28" s="1"/>
  <c r="BV292" i="3"/>
  <c r="G292" i="3" s="1"/>
  <c r="BX292" i="3" s="1"/>
  <c r="BV283" i="28"/>
  <c r="G283" i="28" s="1"/>
  <c r="BX283" i="28" s="1"/>
  <c r="BV277" i="26"/>
  <c r="H277" i="26" s="1"/>
  <c r="BZ277" i="26" s="1"/>
  <c r="BV282" i="24"/>
  <c r="H282" i="24" s="1"/>
  <c r="BZ282" i="24" s="1"/>
  <c r="BV291" i="3"/>
  <c r="H291" i="3" s="1"/>
  <c r="BZ291" i="3" s="1"/>
  <c r="BV290" i="27"/>
  <c r="G290" i="27" s="1"/>
  <c r="BV293" i="19"/>
  <c r="H293" i="19" s="1"/>
  <c r="BZ293" i="19" s="1"/>
  <c r="BU272" i="19"/>
  <c r="AY272" i="19"/>
  <c r="BA272" i="19"/>
  <c r="AF272" i="19"/>
  <c r="E272" i="19"/>
  <c r="BV272" i="27"/>
  <c r="H272" i="27" s="1"/>
  <c r="BZ272" i="27" s="1"/>
  <c r="A29" i="27"/>
  <c r="E29" i="27"/>
  <c r="BV283" i="29"/>
  <c r="H283" i="29" s="1"/>
  <c r="BZ283" i="29" s="1"/>
  <c r="I27" i="19"/>
  <c r="E27" i="19"/>
  <c r="A27" i="19"/>
  <c r="A33" i="19"/>
  <c r="F33" i="19"/>
  <c r="E33" i="19"/>
  <c r="E38" i="19"/>
  <c r="A38" i="19"/>
  <c r="BV279" i="22"/>
  <c r="G279" i="22" s="1"/>
  <c r="BX279" i="22" s="1"/>
  <c r="BV265" i="25"/>
  <c r="H265" i="25" s="1"/>
  <c r="BZ265" i="25" s="1"/>
  <c r="A39" i="29"/>
  <c r="F39" i="29"/>
  <c r="E39" i="29"/>
  <c r="E41" i="29"/>
  <c r="A41" i="29"/>
  <c r="BV268" i="22"/>
  <c r="H268" i="22" s="1"/>
  <c r="BZ268" i="22" s="1"/>
  <c r="BV272" i="26"/>
  <c r="H272" i="26" s="1"/>
  <c r="BZ272" i="26" s="1"/>
  <c r="O59" i="18"/>
  <c r="I10" i="18" s="1"/>
  <c r="E29" i="23"/>
  <c r="A29" i="23"/>
  <c r="A37" i="23"/>
  <c r="F37" i="23"/>
  <c r="A28" i="23"/>
  <c r="E28" i="23"/>
  <c r="BV282" i="26"/>
  <c r="G282" i="26" s="1"/>
  <c r="BX282" i="26" s="1"/>
  <c r="E36" i="26"/>
  <c r="A36" i="26"/>
  <c r="BV285" i="19"/>
  <c r="H285" i="19" s="1"/>
  <c r="BZ285" i="19" s="1"/>
  <c r="BV290" i="29"/>
  <c r="H290" i="29" s="1"/>
  <c r="BZ290" i="29" s="1"/>
  <c r="BV294" i="28"/>
  <c r="G294" i="28" s="1"/>
  <c r="BX294" i="28" s="1"/>
  <c r="E39" i="20"/>
  <c r="A39" i="20"/>
  <c r="F39" i="20"/>
  <c r="A28" i="20"/>
  <c r="E28" i="20"/>
  <c r="A30" i="20"/>
  <c r="E30" i="20"/>
  <c r="M446" i="21"/>
  <c r="F100" i="18"/>
  <c r="BV287" i="23"/>
  <c r="H287" i="23" s="1"/>
  <c r="BZ287" i="23" s="1"/>
  <c r="BV266" i="22"/>
  <c r="H266" i="22" s="1"/>
  <c r="BZ266" i="22" s="1"/>
  <c r="BV272" i="22"/>
  <c r="H272" i="22" s="1"/>
  <c r="BZ272" i="22" s="1"/>
  <c r="BV273" i="25"/>
  <c r="H273" i="25" s="1"/>
  <c r="BZ273" i="25" s="1"/>
  <c r="BV280" i="22"/>
  <c r="H280" i="22" s="1"/>
  <c r="BZ280" i="22" s="1"/>
  <c r="BV274" i="25"/>
  <c r="H274" i="25" s="1"/>
  <c r="BZ274" i="25" s="1"/>
  <c r="E29" i="24"/>
  <c r="A29" i="24"/>
  <c r="E36" i="24"/>
  <c r="A36" i="24"/>
  <c r="BV266" i="26"/>
  <c r="H266" i="26" s="1"/>
  <c r="BZ266" i="26" s="1"/>
  <c r="BV277" i="21"/>
  <c r="H277" i="21" s="1"/>
  <c r="BZ277" i="21" s="1"/>
  <c r="BV285" i="21"/>
  <c r="H285" i="21" s="1"/>
  <c r="BZ285" i="21" s="1"/>
  <c r="BV277" i="20"/>
  <c r="G277" i="20" s="1"/>
  <c r="BX277" i="20" s="1"/>
  <c r="BV293" i="23"/>
  <c r="G293" i="23" s="1"/>
  <c r="BV265" i="21"/>
  <c r="G265" i="21" s="1"/>
  <c r="BX265" i="21" s="1"/>
  <c r="BV294" i="19"/>
  <c r="H294" i="19" s="1"/>
  <c r="BZ294" i="19" s="1"/>
  <c r="BV269" i="23"/>
  <c r="BV279" i="26"/>
  <c r="H279" i="26" s="1"/>
  <c r="BZ279" i="26" s="1"/>
  <c r="BV268" i="28"/>
  <c r="H268" i="28" s="1"/>
  <c r="BZ268" i="28" s="1"/>
  <c r="BV285" i="29"/>
  <c r="G285" i="29" s="1"/>
  <c r="BX285" i="29" s="1"/>
  <c r="BV283" i="3"/>
  <c r="G283" i="3" s="1"/>
  <c r="BX283" i="3" s="1"/>
  <c r="BV271" i="26"/>
  <c r="G271" i="26" s="1"/>
  <c r="BX271" i="26" s="1"/>
  <c r="BV291" i="27"/>
  <c r="G291" i="27" s="1"/>
  <c r="BX291" i="27" s="1"/>
  <c r="E35" i="3"/>
  <c r="F35" i="3"/>
  <c r="A35" i="3"/>
  <c r="BV286" i="27"/>
  <c r="G286" i="27" s="1"/>
  <c r="BX286" i="27" s="1"/>
  <c r="BV287" i="24"/>
  <c r="H287" i="24" s="1"/>
  <c r="BZ287" i="24" s="1"/>
  <c r="E30" i="21"/>
  <c r="A30" i="21"/>
  <c r="E27" i="21"/>
  <c r="I27" i="21"/>
  <c r="A27" i="21"/>
  <c r="A38" i="25"/>
  <c r="E38" i="25"/>
  <c r="A31" i="25"/>
  <c r="E31" i="25"/>
  <c r="BV281" i="3"/>
  <c r="H281" i="3" s="1"/>
  <c r="BZ281" i="3" s="1"/>
  <c r="BV269" i="26"/>
  <c r="H269" i="26" s="1"/>
  <c r="BZ269" i="26" s="1"/>
  <c r="E39" i="22"/>
  <c r="F39" i="22"/>
  <c r="A39" i="22"/>
  <c r="E28" i="22"/>
  <c r="A28" i="22"/>
  <c r="BV271" i="19"/>
  <c r="H271" i="19" s="1"/>
  <c r="BZ271" i="19" s="1"/>
  <c r="BV267" i="28"/>
  <c r="H267" i="28" s="1"/>
  <c r="BZ267" i="28" s="1"/>
  <c r="BV268" i="24"/>
  <c r="G268" i="24" s="1"/>
  <c r="BX268" i="24" s="1"/>
  <c r="BV293" i="24"/>
  <c r="G293" i="24" s="1"/>
  <c r="BV272" i="20"/>
  <c r="G272" i="20" s="1"/>
  <c r="BX272" i="20" s="1"/>
  <c r="F33" i="27"/>
  <c r="E33" i="27"/>
  <c r="A33" i="27"/>
  <c r="BV276" i="27"/>
  <c r="H276" i="27" s="1"/>
  <c r="BZ276" i="27" s="1"/>
  <c r="BV284" i="27"/>
  <c r="H284" i="27" s="1"/>
  <c r="BZ284" i="27" s="1"/>
  <c r="BV265" i="19"/>
  <c r="G265" i="19" s="1"/>
  <c r="BV290" i="24"/>
  <c r="H290" i="24" s="1"/>
  <c r="BZ290" i="24" s="1"/>
  <c r="BV290" i="3"/>
  <c r="G290" i="3" s="1"/>
  <c r="CH290" i="3" s="1"/>
  <c r="BV274" i="26"/>
  <c r="H274" i="26" s="1"/>
  <c r="BZ274" i="26" s="1"/>
  <c r="BV292" i="26"/>
  <c r="H292" i="26" s="1"/>
  <c r="BZ292" i="26" s="1"/>
  <c r="BV284" i="24"/>
  <c r="H284" i="24" s="1"/>
  <c r="BZ284" i="24" s="1"/>
  <c r="E35" i="29"/>
  <c r="A35" i="29"/>
  <c r="F35" i="29"/>
  <c r="E29" i="29"/>
  <c r="A29" i="29"/>
  <c r="BV284" i="21"/>
  <c r="G284" i="21" s="1"/>
  <c r="BV292" i="21"/>
  <c r="H292" i="21" s="1"/>
  <c r="BZ292" i="21" s="1"/>
  <c r="BV269" i="19"/>
  <c r="H269" i="19" s="1"/>
  <c r="BZ269" i="19" s="1"/>
  <c r="C100" i="18"/>
  <c r="M446" i="3"/>
  <c r="F33" i="23"/>
  <c r="A33" i="23"/>
  <c r="E33" i="23"/>
  <c r="A43" i="23"/>
  <c r="E43" i="23"/>
  <c r="A37" i="26"/>
  <c r="F37" i="26"/>
  <c r="O42" i="18"/>
  <c r="I23" i="18" s="1"/>
  <c r="BV273" i="22"/>
  <c r="G273" i="22" s="1"/>
  <c r="BX273" i="22" s="1"/>
  <c r="I27" i="20"/>
  <c r="E27" i="20"/>
  <c r="A27" i="20"/>
  <c r="BV291" i="19"/>
  <c r="H291" i="19" s="1"/>
  <c r="BZ291" i="19" s="1"/>
  <c r="BV276" i="19"/>
  <c r="G276" i="19" s="1"/>
  <c r="BX276" i="19" s="1"/>
  <c r="BV271" i="20"/>
  <c r="H271" i="20" s="1"/>
  <c r="BZ271" i="20" s="1"/>
  <c r="BV270" i="26"/>
  <c r="G270" i="26" s="1"/>
  <c r="BV276" i="28"/>
  <c r="G276" i="28" s="1"/>
  <c r="BX276" i="28" s="1"/>
  <c r="BV266" i="20"/>
  <c r="H266" i="20" s="1"/>
  <c r="BZ266" i="20" s="1"/>
  <c r="BV265" i="23"/>
  <c r="A39" i="24"/>
  <c r="F39" i="24"/>
  <c r="E39" i="24"/>
  <c r="A28" i="24"/>
  <c r="E28" i="24"/>
  <c r="BV285" i="22"/>
  <c r="H285" i="22" s="1"/>
  <c r="BZ285" i="22" s="1"/>
  <c r="BV288" i="28"/>
  <c r="H288" i="28" s="1"/>
  <c r="BZ288" i="28" s="1"/>
  <c r="BV286" i="22"/>
  <c r="H286" i="22" s="1"/>
  <c r="BZ286" i="22" s="1"/>
  <c r="BV289" i="25"/>
  <c r="G289" i="25" s="1"/>
  <c r="BV273" i="21"/>
  <c r="H273" i="21" s="1"/>
  <c r="BZ273" i="21" s="1"/>
  <c r="BV277" i="23"/>
  <c r="H277" i="23" s="1"/>
  <c r="BZ277" i="23" s="1"/>
  <c r="BV282" i="23"/>
  <c r="BV281" i="23"/>
  <c r="BV293" i="21"/>
  <c r="G293" i="21" s="1"/>
  <c r="BV278" i="27"/>
  <c r="G278" i="27" s="1"/>
  <c r="BX278" i="27" s="1"/>
  <c r="I27" i="3"/>
  <c r="A27" i="3"/>
  <c r="E27" i="3"/>
  <c r="BV282" i="27"/>
  <c r="H282" i="27" s="1"/>
  <c r="BZ282" i="27" s="1"/>
  <c r="BV269" i="29"/>
  <c r="H269" i="29" s="1"/>
  <c r="BZ269" i="29" s="1"/>
  <c r="BV287" i="26"/>
  <c r="G287" i="26" s="1"/>
  <c r="BX287" i="26" s="1"/>
  <c r="BV277" i="29"/>
  <c r="H277" i="29" s="1"/>
  <c r="BZ277" i="29" s="1"/>
  <c r="BV283" i="21"/>
  <c r="H283" i="21" s="1"/>
  <c r="BZ283" i="21" s="1"/>
  <c r="E31" i="21"/>
  <c r="A31" i="21"/>
  <c r="E29" i="21"/>
  <c r="A29" i="21"/>
  <c r="A30" i="25"/>
  <c r="E30" i="25"/>
  <c r="I27" i="25"/>
  <c r="A27" i="25"/>
  <c r="E27" i="25"/>
  <c r="E38" i="28"/>
  <c r="A38" i="28"/>
  <c r="E41" i="28"/>
  <c r="A41" i="28"/>
  <c r="H100" i="18"/>
  <c r="M446" i="23"/>
  <c r="BV288" i="3"/>
  <c r="H288" i="3" s="1"/>
  <c r="BZ288" i="3" s="1"/>
  <c r="E35" i="22"/>
  <c r="A35" i="22"/>
  <c r="F35" i="22"/>
  <c r="BV273" i="26"/>
  <c r="G273" i="26" s="1"/>
  <c r="BX273" i="26" s="1"/>
  <c r="BV272" i="23"/>
  <c r="BV272" i="29"/>
  <c r="G272" i="29" s="1"/>
  <c r="BX272" i="29" s="1"/>
  <c r="BV279" i="19"/>
  <c r="H279" i="19" s="1"/>
  <c r="BZ279" i="19" s="1"/>
  <c r="BV287" i="19"/>
  <c r="H287" i="19" s="1"/>
  <c r="BZ287" i="19" s="1"/>
  <c r="BV289" i="24"/>
  <c r="G289" i="24" s="1"/>
  <c r="BV265" i="28"/>
  <c r="G265" i="28" s="1"/>
  <c r="BX265" i="28" s="1"/>
  <c r="BV282" i="21"/>
  <c r="G282" i="21" s="1"/>
  <c r="BV290" i="21"/>
  <c r="H290" i="21" s="1"/>
  <c r="BZ290" i="21" s="1"/>
  <c r="BV284" i="19"/>
  <c r="G284" i="19" s="1"/>
  <c r="I27" i="27"/>
  <c r="A27" i="27"/>
  <c r="E27" i="27"/>
  <c r="E30" i="27"/>
  <c r="A30" i="27"/>
  <c r="A29" i="19"/>
  <c r="E29" i="19"/>
  <c r="A36" i="19"/>
  <c r="E36" i="19"/>
  <c r="BV286" i="3"/>
  <c r="G286" i="3" s="1"/>
  <c r="BX286" i="3" s="1"/>
  <c r="BV289" i="28"/>
  <c r="H289" i="28" s="1"/>
  <c r="BZ289" i="28" s="1"/>
  <c r="BV271" i="25"/>
  <c r="G271" i="25" s="1"/>
  <c r="BX271" i="25" s="1"/>
  <c r="BV284" i="29"/>
  <c r="G284" i="29" s="1"/>
  <c r="BX284" i="29" s="1"/>
  <c r="BV267" i="20"/>
  <c r="H267" i="20" s="1"/>
  <c r="BZ267" i="20" s="1"/>
  <c r="BV288" i="29"/>
  <c r="G288" i="29" s="1"/>
  <c r="BX288" i="29" s="1"/>
  <c r="N100" i="18"/>
  <c r="M446" i="29"/>
  <c r="BV276" i="24"/>
  <c r="H276" i="24" s="1"/>
  <c r="BZ276" i="24" s="1"/>
  <c r="BV273" i="28"/>
  <c r="H273" i="28" s="1"/>
  <c r="BZ273" i="28" s="1"/>
  <c r="E43" i="29"/>
  <c r="A43" i="29"/>
  <c r="BV278" i="26"/>
  <c r="G278" i="26" s="1"/>
  <c r="E41" i="23"/>
  <c r="A41" i="23"/>
  <c r="E38" i="26"/>
  <c r="A38" i="26"/>
  <c r="BV286" i="26"/>
  <c r="G286" i="26" s="1"/>
  <c r="BX286" i="26" s="1"/>
  <c r="BV276" i="20"/>
  <c r="H276" i="20" s="1"/>
  <c r="BZ276" i="20" s="1"/>
  <c r="E36" i="20"/>
  <c r="A36" i="20"/>
  <c r="BV294" i="29"/>
  <c r="H294" i="29" s="1"/>
  <c r="BZ294" i="29" s="1"/>
  <c r="BV274" i="19"/>
  <c r="H274" i="19" s="1"/>
  <c r="BZ274" i="19" s="1"/>
  <c r="BV288" i="19"/>
  <c r="H288" i="19" s="1"/>
  <c r="BZ288" i="19" s="1"/>
  <c r="BV291" i="23"/>
  <c r="H291" i="23" s="1"/>
  <c r="BZ291" i="23" s="1"/>
  <c r="BV275" i="27"/>
  <c r="G275" i="27" s="1"/>
  <c r="BX275" i="27" s="1"/>
  <c r="BV279" i="25"/>
  <c r="H279" i="25" s="1"/>
  <c r="BZ279" i="25" s="1"/>
  <c r="BV265" i="20"/>
  <c r="H265" i="20" s="1"/>
  <c r="BZ265" i="20" s="1"/>
  <c r="BV288" i="22"/>
  <c r="G288" i="22" s="1"/>
  <c r="BX288" i="22" s="1"/>
  <c r="BV291" i="25"/>
  <c r="G291" i="25" s="1"/>
  <c r="BX291" i="25" s="1"/>
  <c r="BV281" i="22"/>
  <c r="H281" i="22" s="1"/>
  <c r="BZ281" i="22" s="1"/>
  <c r="E27" i="24"/>
  <c r="A27" i="24"/>
  <c r="I27" i="24"/>
  <c r="BV281" i="21"/>
  <c r="H281" i="21" s="1"/>
  <c r="BZ281" i="21" s="1"/>
  <c r="BV270" i="20"/>
  <c r="H270" i="20" s="1"/>
  <c r="BZ270" i="20" s="1"/>
  <c r="BV282" i="28"/>
  <c r="G282" i="28" s="1"/>
  <c r="BV282" i="22"/>
  <c r="H282" i="22" s="1"/>
  <c r="BZ282" i="22" s="1"/>
  <c r="BV290" i="22"/>
  <c r="H290" i="22" s="1"/>
  <c r="BZ290" i="22" s="1"/>
  <c r="BV273" i="23"/>
  <c r="BV283" i="26"/>
  <c r="G283" i="26" s="1"/>
  <c r="BV286" i="23"/>
  <c r="H286" i="23" s="1"/>
  <c r="BZ286" i="23" s="1"/>
  <c r="BV281" i="29"/>
  <c r="H281" i="29" s="1"/>
  <c r="BZ281" i="29" s="1"/>
  <c r="BV291" i="29"/>
  <c r="G291" i="29" s="1"/>
  <c r="BV287" i="27"/>
  <c r="H287" i="27" s="1"/>
  <c r="BZ287" i="27" s="1"/>
  <c r="G30" i="18"/>
  <c r="J373" i="22"/>
  <c r="J374" i="22" s="1"/>
  <c r="J373" i="28"/>
  <c r="J374" i="28" s="1"/>
  <c r="M30" i="18"/>
  <c r="F39" i="3"/>
  <c r="E39" i="3"/>
  <c r="A39" i="3"/>
  <c r="E41" i="3"/>
  <c r="A41" i="3"/>
  <c r="BV279" i="24"/>
  <c r="G279" i="24" s="1"/>
  <c r="BV275" i="21"/>
  <c r="H275" i="21" s="1"/>
  <c r="BZ275" i="21" s="1"/>
  <c r="BV270" i="21"/>
  <c r="G270" i="21" s="1"/>
  <c r="BV274" i="21"/>
  <c r="G274" i="21" s="1"/>
  <c r="BX274" i="21" s="1"/>
  <c r="F39" i="21"/>
  <c r="A39" i="21"/>
  <c r="E39" i="21"/>
  <c r="BV289" i="26"/>
  <c r="G289" i="26" s="1"/>
  <c r="E29" i="25"/>
  <c r="A29" i="25"/>
  <c r="E33" i="25"/>
  <c r="F33" i="25"/>
  <c r="A33" i="25"/>
  <c r="F33" i="28"/>
  <c r="E33" i="28"/>
  <c r="A33" i="28"/>
  <c r="BV284" i="3"/>
  <c r="E33" i="22"/>
  <c r="A33" i="22"/>
  <c r="F33" i="22"/>
  <c r="A27" i="22"/>
  <c r="E27" i="22"/>
  <c r="I27" i="22"/>
  <c r="E31" i="22"/>
  <c r="A31" i="22"/>
  <c r="BV287" i="28"/>
  <c r="H287" i="28" s="1"/>
  <c r="BZ287" i="28" s="1"/>
  <c r="BV281" i="26"/>
  <c r="BV286" i="24"/>
  <c r="H286" i="24" s="1"/>
  <c r="BZ286" i="24" s="1"/>
  <c r="BV293" i="3"/>
  <c r="G293" i="3" s="1"/>
  <c r="CC293" i="3" s="1"/>
  <c r="BV280" i="23"/>
  <c r="BV280" i="29"/>
  <c r="BV266" i="24"/>
  <c r="H266" i="24" s="1"/>
  <c r="BZ266" i="24" s="1"/>
  <c r="BV268" i="27"/>
  <c r="H268" i="27" s="1"/>
  <c r="BZ268" i="27" s="1"/>
  <c r="A37" i="27"/>
  <c r="F37" i="27"/>
  <c r="A41" i="27"/>
  <c r="E41" i="27"/>
  <c r="A35" i="27"/>
  <c r="F35" i="27"/>
  <c r="E35" i="27"/>
  <c r="BV272" i="28"/>
  <c r="H272" i="28" s="1"/>
  <c r="BZ272" i="28" s="1"/>
  <c r="E41" i="19"/>
  <c r="A41" i="19"/>
  <c r="BV293" i="28"/>
  <c r="H293" i="28" s="1"/>
  <c r="BZ293" i="28" s="1"/>
  <c r="BV294" i="3"/>
  <c r="H294" i="3" s="1"/>
  <c r="BZ294" i="3" s="1"/>
  <c r="BV278" i="29"/>
  <c r="BV275" i="20"/>
  <c r="H275" i="20" s="1"/>
  <c r="BZ275" i="20" s="1"/>
  <c r="BV270" i="27"/>
  <c r="G270" i="27" s="1"/>
  <c r="BV287" i="20"/>
  <c r="BV280" i="21"/>
  <c r="G280" i="21" s="1"/>
  <c r="BX280" i="21" s="1"/>
  <c r="E38" i="29"/>
  <c r="A38" i="29"/>
  <c r="E36" i="29"/>
  <c r="A36" i="29"/>
  <c r="BV288" i="24"/>
  <c r="BV281" i="19"/>
  <c r="H281" i="19" s="1"/>
  <c r="BZ281" i="19" s="1"/>
  <c r="BV283" i="22"/>
  <c r="H283" i="22" s="1"/>
  <c r="BZ283" i="22" s="1"/>
  <c r="A38" i="23"/>
  <c r="E38" i="23"/>
  <c r="E31" i="23"/>
  <c r="A31" i="23"/>
  <c r="E39" i="26"/>
  <c r="F39" i="26"/>
  <c r="A39" i="26"/>
  <c r="A41" i="26"/>
  <c r="E41" i="26"/>
  <c r="BV269" i="20"/>
  <c r="BV291" i="22"/>
  <c r="H291" i="22" s="1"/>
  <c r="BZ291" i="22" s="1"/>
  <c r="J373" i="19"/>
  <c r="J374" i="19" s="1"/>
  <c r="D30" i="18"/>
  <c r="E43" i="20"/>
  <c r="A43" i="20"/>
  <c r="BV266" i="19"/>
  <c r="BV294" i="20"/>
  <c r="H294" i="20" s="1"/>
  <c r="BZ294" i="20" s="1"/>
  <c r="BV276" i="26"/>
  <c r="G276" i="26" s="1"/>
  <c r="BV277" i="25"/>
  <c r="G277" i="25" s="1"/>
  <c r="BX277" i="25" s="1"/>
  <c r="BV279" i="27"/>
  <c r="G279" i="27" s="1"/>
  <c r="BX279" i="27" s="1"/>
  <c r="BV278" i="22"/>
  <c r="G278" i="22" s="1"/>
  <c r="BX278" i="22" s="1"/>
  <c r="BV284" i="22"/>
  <c r="G284" i="22" s="1"/>
  <c r="M446" i="28"/>
  <c r="M100" i="18"/>
  <c r="E41" i="24"/>
  <c r="A41" i="24"/>
  <c r="F33" i="24"/>
  <c r="A33" i="24"/>
  <c r="E33" i="24"/>
  <c r="BV271" i="29"/>
  <c r="G271" i="29" s="1"/>
  <c r="BV277" i="27"/>
  <c r="G277" i="27" s="1"/>
  <c r="BX277" i="27" s="1"/>
  <c r="BV286" i="28"/>
  <c r="G286" i="28" s="1"/>
  <c r="BV294" i="26"/>
  <c r="G294" i="26" s="1"/>
  <c r="BV269" i="21"/>
  <c r="G269" i="21" s="1"/>
  <c r="BX269" i="21" s="1"/>
  <c r="BV294" i="22"/>
  <c r="H294" i="22" s="1"/>
  <c r="BZ294" i="22" s="1"/>
  <c r="BV270" i="19"/>
  <c r="H270" i="19" s="1"/>
  <c r="BZ270" i="19" s="1"/>
  <c r="BV284" i="25"/>
  <c r="H284" i="25" s="1"/>
  <c r="BZ284" i="25" s="1"/>
  <c r="BV294" i="25"/>
  <c r="H294" i="25" s="1"/>
  <c r="BZ294" i="25" s="1"/>
  <c r="BV281" i="27"/>
  <c r="G281" i="27" s="1"/>
  <c r="BX281" i="27" s="1"/>
  <c r="Q34" i="23"/>
  <c r="I34" i="23" s="1"/>
  <c r="E264" i="23"/>
  <c r="Q32" i="23"/>
  <c r="I32" i="23" s="1"/>
  <c r="AF264" i="23"/>
  <c r="J152" i="23"/>
  <c r="AY264" i="23"/>
  <c r="BA264" i="23"/>
  <c r="BU264" i="23"/>
  <c r="BU264" i="22"/>
  <c r="E264" i="22"/>
  <c r="Q34" i="22"/>
  <c r="I34" i="22" s="1"/>
  <c r="AY264" i="22"/>
  <c r="AF264" i="22"/>
  <c r="Q32" i="22"/>
  <c r="I32" i="22" s="1"/>
  <c r="J152" i="22"/>
  <c r="BA264" i="22"/>
  <c r="BV268" i="25"/>
  <c r="H268" i="25" s="1"/>
  <c r="BZ268" i="25" s="1"/>
  <c r="BV265" i="29"/>
  <c r="G265" i="29" s="1"/>
  <c r="E31" i="3"/>
  <c r="A31" i="3"/>
  <c r="E38" i="3"/>
  <c r="A38" i="3"/>
  <c r="BV280" i="25"/>
  <c r="G280" i="25" s="1"/>
  <c r="BX280" i="25" s="1"/>
  <c r="E36" i="21"/>
  <c r="A36" i="21"/>
  <c r="A28" i="21"/>
  <c r="E28" i="21"/>
  <c r="A35" i="21"/>
  <c r="F35" i="21"/>
  <c r="E35" i="21"/>
  <c r="A36" i="25"/>
  <c r="E36" i="25"/>
  <c r="A37" i="25"/>
  <c r="F37" i="25"/>
  <c r="L30" i="18"/>
  <c r="J373" i="27"/>
  <c r="J374" i="27" s="1"/>
  <c r="E27" i="28"/>
  <c r="A27" i="28"/>
  <c r="I27" i="28"/>
  <c r="A30" i="28"/>
  <c r="E30" i="28"/>
  <c r="E31" i="28"/>
  <c r="A31" i="28"/>
  <c r="A30" i="22"/>
  <c r="E30" i="22"/>
  <c r="E43" i="22"/>
  <c r="A43" i="22"/>
  <c r="BV268" i="23"/>
  <c r="BV278" i="24"/>
  <c r="H278" i="24" s="1"/>
  <c r="BZ278" i="24" s="1"/>
  <c r="BV289" i="3"/>
  <c r="G289" i="3" s="1"/>
  <c r="BX289" i="3" s="1"/>
  <c r="M446" i="20"/>
  <c r="E100" i="18"/>
  <c r="BV266" i="21"/>
  <c r="H266" i="21" s="1"/>
  <c r="BZ266" i="21" s="1"/>
  <c r="BV276" i="29"/>
  <c r="G276" i="29" s="1"/>
  <c r="BV294" i="27"/>
  <c r="G294" i="27" s="1"/>
  <c r="BV291" i="24"/>
  <c r="G291" i="24" s="1"/>
  <c r="BV272" i="21"/>
  <c r="G272" i="21" s="1"/>
  <c r="BX272" i="21" s="1"/>
  <c r="BV276" i="21"/>
  <c r="H276" i="21" s="1"/>
  <c r="BZ276" i="21" s="1"/>
  <c r="A31" i="27"/>
  <c r="E31" i="27"/>
  <c r="A38" i="27"/>
  <c r="E38" i="27"/>
  <c r="BV268" i="29"/>
  <c r="G268" i="29" s="1"/>
  <c r="BX268" i="29" s="1"/>
  <c r="BV273" i="24"/>
  <c r="G273" i="24" s="1"/>
  <c r="BV277" i="24"/>
  <c r="G277" i="24" s="1"/>
  <c r="BX277" i="24" s="1"/>
  <c r="E28" i="19"/>
  <c r="A28" i="19"/>
  <c r="E30" i="19"/>
  <c r="A30" i="19"/>
  <c r="BV271" i="22"/>
  <c r="G271" i="22" s="1"/>
  <c r="J373" i="21"/>
  <c r="J374" i="21" s="1"/>
  <c r="F30" i="18"/>
  <c r="BV275" i="22"/>
  <c r="G275" i="22" s="1"/>
  <c r="BX275" i="22" s="1"/>
  <c r="BV267" i="19"/>
  <c r="G267" i="19" s="1"/>
  <c r="BX267" i="19" s="1"/>
  <c r="BV282" i="29"/>
  <c r="H282" i="29" s="1"/>
  <c r="BZ282" i="29" s="1"/>
  <c r="BV275" i="19"/>
  <c r="H275" i="19" s="1"/>
  <c r="BZ275" i="19" s="1"/>
  <c r="BV282" i="20"/>
  <c r="H282" i="20" s="1"/>
  <c r="BZ282" i="20" s="1"/>
  <c r="F33" i="29"/>
  <c r="E33" i="29"/>
  <c r="A33" i="29"/>
  <c r="BV269" i="27"/>
  <c r="H269" i="27" s="1"/>
  <c r="BZ269" i="27" s="1"/>
  <c r="BV286" i="19"/>
  <c r="G286" i="19" s="1"/>
  <c r="BV294" i="24"/>
  <c r="H294" i="24" s="1"/>
  <c r="BZ294" i="24" s="1"/>
  <c r="A30" i="23"/>
  <c r="E30" i="23"/>
  <c r="A27" i="23"/>
  <c r="I27" i="23"/>
  <c r="E27" i="23"/>
  <c r="E33" i="26"/>
  <c r="A33" i="26"/>
  <c r="F33" i="26"/>
  <c r="BV277" i="22"/>
  <c r="H277" i="22" s="1"/>
  <c r="BZ277" i="22" s="1"/>
  <c r="E31" i="20"/>
  <c r="A31" i="20"/>
  <c r="A37" i="20"/>
  <c r="F37" i="20"/>
  <c r="BV293" i="27"/>
  <c r="H293" i="27" s="1"/>
  <c r="BZ293" i="27" s="1"/>
  <c r="BV278" i="20"/>
  <c r="H278" i="20" s="1"/>
  <c r="BZ278" i="20" s="1"/>
  <c r="BV270" i="22"/>
  <c r="H270" i="22" s="1"/>
  <c r="BZ270" i="22" s="1"/>
  <c r="BV267" i="23"/>
  <c r="BV271" i="23"/>
  <c r="J373" i="3"/>
  <c r="J374" i="3" s="1"/>
  <c r="C30" i="18"/>
  <c r="L100" i="18"/>
  <c r="M446" i="27"/>
  <c r="BV279" i="23"/>
  <c r="G279" i="23" s="1"/>
  <c r="E31" i="24"/>
  <c r="A31" i="24"/>
  <c r="A37" i="24"/>
  <c r="F37" i="24"/>
  <c r="BV278" i="25"/>
  <c r="BV291" i="20"/>
  <c r="H291" i="20" s="1"/>
  <c r="BZ291" i="20" s="1"/>
  <c r="BV293" i="22"/>
  <c r="G293" i="22" s="1"/>
  <c r="BX293" i="22" s="1"/>
  <c r="BV273" i="27"/>
  <c r="BV292" i="19"/>
  <c r="BV288" i="26"/>
  <c r="H288" i="26" s="1"/>
  <c r="BZ288" i="26" s="1"/>
  <c r="BV293" i="29"/>
  <c r="H293" i="29" s="1"/>
  <c r="BZ293" i="29" s="1"/>
  <c r="BV291" i="21"/>
  <c r="BV266" i="23"/>
  <c r="BV270" i="23"/>
  <c r="Q32" i="28"/>
  <c r="I32" i="28" s="1"/>
  <c r="E264" i="28"/>
  <c r="BA264" i="28"/>
  <c r="J152" i="28"/>
  <c r="BU264" i="28"/>
  <c r="Q34" i="28"/>
  <c r="I34" i="28" s="1"/>
  <c r="AF264" i="28"/>
  <c r="AY264" i="28"/>
  <c r="A28" i="3"/>
  <c r="E28" i="3"/>
  <c r="BV273" i="29"/>
  <c r="G273" i="29" s="1"/>
  <c r="BV290" i="23"/>
  <c r="E41" i="25"/>
  <c r="A41" i="25"/>
  <c r="J152" i="27"/>
  <c r="Q32" i="27"/>
  <c r="I32" i="27" s="1"/>
  <c r="E264" i="27"/>
  <c r="Q34" i="27"/>
  <c r="I34" i="27" s="1"/>
  <c r="BA264" i="27"/>
  <c r="AF264" i="27"/>
  <c r="AY264" i="27"/>
  <c r="BU264" i="27"/>
  <c r="A29" i="28"/>
  <c r="E29" i="28"/>
  <c r="E28" i="28"/>
  <c r="A28" i="28"/>
  <c r="E35" i="28"/>
  <c r="F35" i="28"/>
  <c r="A35" i="28"/>
  <c r="BV294" i="23"/>
  <c r="BV274" i="27"/>
  <c r="H274" i="27" s="1"/>
  <c r="BZ274" i="27" s="1"/>
  <c r="A37" i="22"/>
  <c r="F37" i="22"/>
  <c r="BV276" i="23"/>
  <c r="H276" i="23" s="1"/>
  <c r="BZ276" i="23" s="1"/>
  <c r="BV292" i="27"/>
  <c r="BV268" i="19"/>
  <c r="H268" i="19" s="1"/>
  <c r="BZ268" i="19" s="1"/>
  <c r="J373" i="25"/>
  <c r="J374" i="25" s="1"/>
  <c r="J30" i="18"/>
  <c r="BV268" i="21"/>
  <c r="G268" i="21" s="1"/>
  <c r="BV275" i="28"/>
  <c r="E43" i="27"/>
  <c r="A43" i="27"/>
  <c r="A28" i="27"/>
  <c r="E28" i="27"/>
  <c r="E39" i="19"/>
  <c r="A39" i="19"/>
  <c r="F39" i="19"/>
  <c r="E43" i="19"/>
  <c r="A43" i="19"/>
  <c r="BV291" i="28"/>
  <c r="H291" i="28" s="1"/>
  <c r="BZ291" i="28" s="1"/>
  <c r="Q34" i="21"/>
  <c r="I34" i="21" s="1"/>
  <c r="E264" i="21"/>
  <c r="Q32" i="21"/>
  <c r="I32" i="21" s="1"/>
  <c r="AF264" i="21"/>
  <c r="J152" i="21"/>
  <c r="BU264" i="21"/>
  <c r="AY264" i="21"/>
  <c r="BA264" i="21"/>
  <c r="BV268" i="20"/>
  <c r="BV283" i="19"/>
  <c r="H283" i="19" s="1"/>
  <c r="BZ283" i="19" s="1"/>
  <c r="BV265" i="27"/>
  <c r="G265" i="27" s="1"/>
  <c r="A28" i="29"/>
  <c r="E28" i="29"/>
  <c r="F37" i="29"/>
  <c r="A37" i="29"/>
  <c r="BV266" i="29"/>
  <c r="BV274" i="20"/>
  <c r="G274" i="20" s="1"/>
  <c r="BV292" i="20"/>
  <c r="G292" i="20" s="1"/>
  <c r="BV265" i="22"/>
  <c r="BV277" i="19"/>
  <c r="E30" i="26"/>
  <c r="A30" i="26"/>
  <c r="I27" i="26"/>
  <c r="A27" i="26"/>
  <c r="E27" i="26"/>
  <c r="A28" i="26"/>
  <c r="E28" i="26"/>
  <c r="BV283" i="27"/>
  <c r="H283" i="27" s="1"/>
  <c r="BZ283" i="27" s="1"/>
  <c r="BU264" i="19"/>
  <c r="AY264" i="19"/>
  <c r="DI6" i="19" s="1"/>
  <c r="BA264" i="19"/>
  <c r="J152" i="19"/>
  <c r="Q34" i="19"/>
  <c r="I34" i="19" s="1"/>
  <c r="E264" i="19"/>
  <c r="AF264" i="19"/>
  <c r="Q32" i="19"/>
  <c r="I32" i="19" s="1"/>
  <c r="F33" i="20"/>
  <c r="E33" i="20"/>
  <c r="A33" i="20"/>
  <c r="I30" i="18"/>
  <c r="J373" i="24"/>
  <c r="J374" i="24" s="1"/>
  <c r="BV274" i="22"/>
  <c r="G274" i="22" s="1"/>
  <c r="BX274" i="22" s="1"/>
  <c r="BV275" i="25"/>
  <c r="G275" i="25" s="1"/>
  <c r="BX275" i="25" s="1"/>
  <c r="BV283" i="25"/>
  <c r="E43" i="24"/>
  <c r="A43" i="24"/>
  <c r="E38" i="24"/>
  <c r="A38" i="24"/>
  <c r="BV280" i="20"/>
  <c r="G280" i="20" s="1"/>
  <c r="BX280" i="20" s="1"/>
  <c r="BV286" i="20"/>
  <c r="BV275" i="29"/>
  <c r="BV289" i="22"/>
  <c r="H289" i="22" s="1"/>
  <c r="BZ289" i="22" s="1"/>
  <c r="BV278" i="19"/>
  <c r="H278" i="19" s="1"/>
  <c r="BZ278" i="19" s="1"/>
  <c r="BV280" i="28"/>
  <c r="G280" i="28" s="1"/>
  <c r="M446" i="22"/>
  <c r="G100" i="18"/>
  <c r="O34" i="3" l="1"/>
  <c r="E34" i="3" s="1"/>
  <c r="I34" i="3"/>
  <c r="CC279" i="3"/>
  <c r="BX279" i="3"/>
  <c r="CC282" i="3"/>
  <c r="CH282" i="3"/>
  <c r="CC292" i="3"/>
  <c r="CH286" i="3"/>
  <c r="CH292" i="3"/>
  <c r="BX290" i="3"/>
  <c r="CC290" i="3"/>
  <c r="CC286" i="3"/>
  <c r="G287" i="27"/>
  <c r="CU287" i="27" s="1"/>
  <c r="H283" i="23"/>
  <c r="BZ283" i="23" s="1"/>
  <c r="G284" i="20"/>
  <c r="BX284" i="20" s="1"/>
  <c r="H280" i="27"/>
  <c r="BZ280" i="27" s="1"/>
  <c r="G280" i="3"/>
  <c r="BX280" i="3" s="1"/>
  <c r="G266" i="22"/>
  <c r="CU266" i="22" s="1"/>
  <c r="CH293" i="3"/>
  <c r="BX293" i="3"/>
  <c r="G272" i="27"/>
  <c r="CU272" i="27" s="1"/>
  <c r="H290" i="27"/>
  <c r="BZ290" i="27" s="1"/>
  <c r="G267" i="28"/>
  <c r="CU267" i="28" s="1"/>
  <c r="G269" i="26"/>
  <c r="BX269" i="26" s="1"/>
  <c r="H283" i="26"/>
  <c r="BZ283" i="26" s="1"/>
  <c r="H274" i="22"/>
  <c r="BZ274" i="22" s="1"/>
  <c r="H291" i="29"/>
  <c r="BZ291" i="29" s="1"/>
  <c r="H277" i="24"/>
  <c r="BZ277" i="24" s="1"/>
  <c r="G284" i="25"/>
  <c r="CU284" i="25" s="1"/>
  <c r="G281" i="3"/>
  <c r="I281" i="3" s="1"/>
  <c r="H292" i="3"/>
  <c r="BZ292" i="3" s="1"/>
  <c r="G293" i="27"/>
  <c r="I293" i="27" s="1"/>
  <c r="G287" i="25"/>
  <c r="CU287" i="25" s="1"/>
  <c r="G288" i="26"/>
  <c r="CU288" i="26" s="1"/>
  <c r="G288" i="28"/>
  <c r="BX288" i="28" s="1"/>
  <c r="H272" i="20"/>
  <c r="BZ272" i="20" s="1"/>
  <c r="H265" i="29"/>
  <c r="BZ265" i="29" s="1"/>
  <c r="G277" i="23"/>
  <c r="BX277" i="23" s="1"/>
  <c r="H285" i="29"/>
  <c r="BZ285" i="29" s="1"/>
  <c r="G272" i="26"/>
  <c r="BX272" i="26" s="1"/>
  <c r="G266" i="24"/>
  <c r="BX266" i="24" s="1"/>
  <c r="G273" i="28"/>
  <c r="I273" i="28" s="1"/>
  <c r="G280" i="22"/>
  <c r="BX280" i="22" s="1"/>
  <c r="H294" i="28"/>
  <c r="BZ294" i="28" s="1"/>
  <c r="H285" i="23"/>
  <c r="BZ285" i="23" s="1"/>
  <c r="G270" i="28"/>
  <c r="BX270" i="28" s="1"/>
  <c r="H287" i="22"/>
  <c r="BZ287" i="22" s="1"/>
  <c r="G271" i="24"/>
  <c r="CU271" i="24" s="1"/>
  <c r="G291" i="20"/>
  <c r="BX291" i="20" s="1"/>
  <c r="G277" i="22"/>
  <c r="BX277" i="22" s="1"/>
  <c r="H280" i="21"/>
  <c r="BZ280" i="21" s="1"/>
  <c r="H279" i="29"/>
  <c r="BZ279" i="29" s="1"/>
  <c r="H293" i="22"/>
  <c r="BZ293" i="22" s="1"/>
  <c r="G294" i="25"/>
  <c r="I294" i="25" s="1"/>
  <c r="H294" i="26"/>
  <c r="BZ294" i="26" s="1"/>
  <c r="G291" i="22"/>
  <c r="BX291" i="22" s="1"/>
  <c r="H293" i="3"/>
  <c r="BZ293" i="3" s="1"/>
  <c r="G277" i="29"/>
  <c r="BX277" i="29" s="1"/>
  <c r="H268" i="24"/>
  <c r="BZ268" i="24" s="1"/>
  <c r="H265" i="21"/>
  <c r="BZ265" i="21" s="1"/>
  <c r="G272" i="22"/>
  <c r="I272" i="22" s="1"/>
  <c r="G268" i="22"/>
  <c r="BX268" i="22" s="1"/>
  <c r="G282" i="24"/>
  <c r="CU282" i="24" s="1"/>
  <c r="G270" i="24"/>
  <c r="BX270" i="24" s="1"/>
  <c r="H275" i="25"/>
  <c r="BZ275" i="25" s="1"/>
  <c r="H268" i="21"/>
  <c r="BZ268" i="21" s="1"/>
  <c r="H271" i="22"/>
  <c r="BZ271" i="22" s="1"/>
  <c r="G270" i="20"/>
  <c r="BX270" i="20" s="1"/>
  <c r="G281" i="22"/>
  <c r="CU281" i="22" s="1"/>
  <c r="H273" i="26"/>
  <c r="BZ273" i="26" s="1"/>
  <c r="H276" i="19"/>
  <c r="BZ276" i="19" s="1"/>
  <c r="H286" i="27"/>
  <c r="BZ286" i="27" s="1"/>
  <c r="H267" i="25"/>
  <c r="BZ267" i="25" s="1"/>
  <c r="H290" i="20"/>
  <c r="BZ290" i="20" s="1"/>
  <c r="G283" i="27"/>
  <c r="CU283" i="27" s="1"/>
  <c r="G276" i="23"/>
  <c r="CU276" i="23" s="1"/>
  <c r="G270" i="22"/>
  <c r="CU270" i="22" s="1"/>
  <c r="G294" i="3"/>
  <c r="CU294" i="3" s="1"/>
  <c r="G292" i="21"/>
  <c r="CU292" i="21" s="1"/>
  <c r="G285" i="24"/>
  <c r="CU285" i="24" s="1"/>
  <c r="G274" i="24"/>
  <c r="BX274" i="24" s="1"/>
  <c r="H280" i="28"/>
  <c r="BZ280" i="28" s="1"/>
  <c r="G278" i="19"/>
  <c r="I278" i="19" s="1"/>
  <c r="G268" i="19"/>
  <c r="BX268" i="19" s="1"/>
  <c r="G278" i="20"/>
  <c r="CU278" i="20" s="1"/>
  <c r="CC283" i="3"/>
  <c r="H269" i="21"/>
  <c r="BZ269" i="21" s="1"/>
  <c r="H289" i="26"/>
  <c r="BZ289" i="26" s="1"/>
  <c r="G279" i="25"/>
  <c r="BX279" i="25" s="1"/>
  <c r="G273" i="25"/>
  <c r="BX273" i="25" s="1"/>
  <c r="G279" i="28"/>
  <c r="BX279" i="28" s="1"/>
  <c r="H279" i="3"/>
  <c r="BZ279" i="3" s="1"/>
  <c r="G281" i="20"/>
  <c r="I281" i="20" s="1"/>
  <c r="G290" i="26"/>
  <c r="I290" i="26" s="1"/>
  <c r="G288" i="25"/>
  <c r="CU288" i="25" s="1"/>
  <c r="G288" i="27"/>
  <c r="BX288" i="27" s="1"/>
  <c r="G268" i="27"/>
  <c r="BX268" i="27" s="1"/>
  <c r="H275" i="27"/>
  <c r="BZ275" i="27" s="1"/>
  <c r="G294" i="29"/>
  <c r="I294" i="29" s="1"/>
  <c r="G287" i="19"/>
  <c r="I287" i="19" s="1"/>
  <c r="CH287" i="3"/>
  <c r="G285" i="22"/>
  <c r="I285" i="22" s="1"/>
  <c r="H293" i="24"/>
  <c r="BZ293" i="24" s="1"/>
  <c r="G268" i="28"/>
  <c r="I268" i="28" s="1"/>
  <c r="H293" i="23"/>
  <c r="BZ293" i="23" s="1"/>
  <c r="G285" i="27"/>
  <c r="BX285" i="27" s="1"/>
  <c r="G273" i="19"/>
  <c r="CU273" i="19" s="1"/>
  <c r="H282" i="3"/>
  <c r="BZ282" i="3" s="1"/>
  <c r="H285" i="26"/>
  <c r="BZ285" i="26" s="1"/>
  <c r="G284" i="23"/>
  <c r="CU284" i="23" s="1"/>
  <c r="H270" i="25"/>
  <c r="BZ270" i="25" s="1"/>
  <c r="G289" i="22"/>
  <c r="BX289" i="22" s="1"/>
  <c r="H292" i="20"/>
  <c r="BZ292" i="20" s="1"/>
  <c r="G293" i="29"/>
  <c r="I293" i="29" s="1"/>
  <c r="H286" i="19"/>
  <c r="BZ286" i="19" s="1"/>
  <c r="H277" i="27"/>
  <c r="BZ277" i="27" s="1"/>
  <c r="H277" i="25"/>
  <c r="BZ277" i="25" s="1"/>
  <c r="G281" i="19"/>
  <c r="BX281" i="19" s="1"/>
  <c r="G293" i="28"/>
  <c r="CU293" i="28" s="1"/>
  <c r="G286" i="24"/>
  <c r="I286" i="24" s="1"/>
  <c r="G281" i="21"/>
  <c r="BX281" i="21" s="1"/>
  <c r="H291" i="25"/>
  <c r="BZ291" i="25" s="1"/>
  <c r="G289" i="28"/>
  <c r="CU289" i="28" s="1"/>
  <c r="G290" i="21"/>
  <c r="CU290" i="21" s="1"/>
  <c r="H287" i="26"/>
  <c r="BZ287" i="26" s="1"/>
  <c r="BX287" i="3"/>
  <c r="G273" i="21"/>
  <c r="BX273" i="21" s="1"/>
  <c r="G276" i="27"/>
  <c r="I276" i="27" s="1"/>
  <c r="G287" i="24"/>
  <c r="I287" i="24" s="1"/>
  <c r="H278" i="23"/>
  <c r="BZ278" i="23" s="1"/>
  <c r="H274" i="20"/>
  <c r="BZ274" i="20" s="1"/>
  <c r="G291" i="28"/>
  <c r="CU291" i="28" s="1"/>
  <c r="H267" i="19"/>
  <c r="BZ267" i="19" s="1"/>
  <c r="G266" i="21"/>
  <c r="BX266" i="21" s="1"/>
  <c r="H271" i="29"/>
  <c r="BZ271" i="29" s="1"/>
  <c r="H274" i="21"/>
  <c r="BZ274" i="21" s="1"/>
  <c r="G281" i="29"/>
  <c r="BX281" i="29" s="1"/>
  <c r="H282" i="28"/>
  <c r="BZ282" i="28" s="1"/>
  <c r="H288" i="22"/>
  <c r="BZ288" i="22" s="1"/>
  <c r="G288" i="19"/>
  <c r="I288" i="19" s="1"/>
  <c r="H288" i="29"/>
  <c r="BZ288" i="29" s="1"/>
  <c r="H286" i="3"/>
  <c r="BZ286" i="3" s="1"/>
  <c r="H282" i="21"/>
  <c r="BZ282" i="21" s="1"/>
  <c r="H272" i="29"/>
  <c r="BZ272" i="29" s="1"/>
  <c r="H283" i="3"/>
  <c r="BZ283" i="3" s="1"/>
  <c r="H279" i="22"/>
  <c r="BZ279" i="22" s="1"/>
  <c r="H270" i="29"/>
  <c r="BZ270" i="29" s="1"/>
  <c r="G286" i="21"/>
  <c r="BX286" i="21" s="1"/>
  <c r="G275" i="24"/>
  <c r="I275" i="24" s="1"/>
  <c r="H283" i="24"/>
  <c r="BZ283" i="24" s="1"/>
  <c r="H274" i="28"/>
  <c r="BZ274" i="28" s="1"/>
  <c r="H275" i="23"/>
  <c r="BZ275" i="23" s="1"/>
  <c r="H268" i="26"/>
  <c r="BZ268" i="26" s="1"/>
  <c r="H280" i="20"/>
  <c r="BZ280" i="20" s="1"/>
  <c r="H265" i="27"/>
  <c r="BZ265" i="27" s="1"/>
  <c r="H279" i="23"/>
  <c r="BZ279" i="23" s="1"/>
  <c r="H270" i="21"/>
  <c r="BZ270" i="21" s="1"/>
  <c r="G274" i="19"/>
  <c r="BX274" i="19" s="1"/>
  <c r="G267" i="20"/>
  <c r="CU267" i="20" s="1"/>
  <c r="H265" i="28"/>
  <c r="BZ265" i="28" s="1"/>
  <c r="G288" i="3"/>
  <c r="BX288" i="3" s="1"/>
  <c r="G271" i="20"/>
  <c r="BX271" i="20" s="1"/>
  <c r="G266" i="26"/>
  <c r="I266" i="26" s="1"/>
  <c r="H282" i="26"/>
  <c r="BZ282" i="26" s="1"/>
  <c r="H287" i="3"/>
  <c r="BZ287" i="3" s="1"/>
  <c r="G276" i="22"/>
  <c r="BX276" i="22" s="1"/>
  <c r="H289" i="27"/>
  <c r="BZ289" i="27" s="1"/>
  <c r="H285" i="28"/>
  <c r="BZ285" i="28" s="1"/>
  <c r="G272" i="24"/>
  <c r="CU272" i="24" s="1"/>
  <c r="G276" i="25"/>
  <c r="I276" i="25" s="1"/>
  <c r="G267" i="27"/>
  <c r="CU267" i="27" s="1"/>
  <c r="G285" i="20"/>
  <c r="BX285" i="20" s="1"/>
  <c r="G274" i="29"/>
  <c r="CU274" i="29" s="1"/>
  <c r="H286" i="29"/>
  <c r="BZ286" i="29" s="1"/>
  <c r="G266" i="27"/>
  <c r="CU266" i="27" s="1"/>
  <c r="H289" i="29"/>
  <c r="BZ289" i="29" s="1"/>
  <c r="H285" i="25"/>
  <c r="BZ285" i="25" s="1"/>
  <c r="G274" i="27"/>
  <c r="I274" i="27" s="1"/>
  <c r="H273" i="29"/>
  <c r="BZ273" i="29" s="1"/>
  <c r="G294" i="24"/>
  <c r="CU294" i="24" s="1"/>
  <c r="G282" i="20"/>
  <c r="I282" i="20" s="1"/>
  <c r="H291" i="24"/>
  <c r="BZ291" i="24" s="1"/>
  <c r="H279" i="27"/>
  <c r="BZ279" i="27" s="1"/>
  <c r="G283" i="22"/>
  <c r="BX283" i="22" s="1"/>
  <c r="H290" i="3"/>
  <c r="BZ290" i="3" s="1"/>
  <c r="H283" i="28"/>
  <c r="BZ283" i="28" s="1"/>
  <c r="H269" i="24"/>
  <c r="BZ269" i="24" s="1"/>
  <c r="H271" i="28"/>
  <c r="BZ271" i="28" s="1"/>
  <c r="H265" i="26"/>
  <c r="BZ265" i="26" s="1"/>
  <c r="G287" i="29"/>
  <c r="CU287" i="29" s="1"/>
  <c r="H272" i="25"/>
  <c r="BZ272" i="25" s="1"/>
  <c r="G275" i="29"/>
  <c r="H275" i="29"/>
  <c r="BZ275" i="29" s="1"/>
  <c r="G283" i="25"/>
  <c r="H283" i="25"/>
  <c r="BZ283" i="25" s="1"/>
  <c r="O32" i="28"/>
  <c r="H292" i="19"/>
  <c r="BZ292" i="19" s="1"/>
  <c r="G292" i="19"/>
  <c r="H294" i="23"/>
  <c r="BZ294" i="23" s="1"/>
  <c r="G294" i="23"/>
  <c r="BV264" i="27"/>
  <c r="G264" i="27" s="1"/>
  <c r="BX264" i="27" s="1"/>
  <c r="G273" i="27"/>
  <c r="H273" i="27"/>
  <c r="BZ273" i="27" s="1"/>
  <c r="G286" i="20"/>
  <c r="H286" i="20"/>
  <c r="BZ286" i="20" s="1"/>
  <c r="H266" i="29"/>
  <c r="BZ266" i="29" s="1"/>
  <c r="G266" i="29"/>
  <c r="H287" i="20"/>
  <c r="BZ287" i="20" s="1"/>
  <c r="G287" i="20"/>
  <c r="O32" i="19"/>
  <c r="BV264" i="21"/>
  <c r="H264" i="21" s="1"/>
  <c r="H290" i="23"/>
  <c r="BZ290" i="23" s="1"/>
  <c r="G290" i="23"/>
  <c r="O34" i="28"/>
  <c r="H288" i="24"/>
  <c r="BZ288" i="24" s="1"/>
  <c r="G288" i="24"/>
  <c r="G281" i="26"/>
  <c r="H281" i="26"/>
  <c r="BZ281" i="26" s="1"/>
  <c r="H277" i="19"/>
  <c r="BZ277" i="19" s="1"/>
  <c r="G277" i="19"/>
  <c r="G283" i="19"/>
  <c r="H292" i="27"/>
  <c r="BZ292" i="27" s="1"/>
  <c r="G292" i="27"/>
  <c r="H269" i="20"/>
  <c r="BZ269" i="20" s="1"/>
  <c r="G269" i="20"/>
  <c r="G280" i="29"/>
  <c r="H280" i="29"/>
  <c r="BZ280" i="29" s="1"/>
  <c r="G265" i="22"/>
  <c r="H265" i="22"/>
  <c r="BZ265" i="22" s="1"/>
  <c r="G275" i="28"/>
  <c r="H275" i="28"/>
  <c r="BZ275" i="28" s="1"/>
  <c r="G266" i="19"/>
  <c r="H266" i="19"/>
  <c r="BZ266" i="19" s="1"/>
  <c r="G284" i="3"/>
  <c r="H284" i="3"/>
  <c r="BZ284" i="3" s="1"/>
  <c r="O34" i="19"/>
  <c r="G268" i="20"/>
  <c r="H268" i="20"/>
  <c r="BZ268" i="20" s="1"/>
  <c r="O32" i="21"/>
  <c r="G291" i="21"/>
  <c r="H291" i="21"/>
  <c r="BZ291" i="21" s="1"/>
  <c r="H278" i="29"/>
  <c r="BZ278" i="29" s="1"/>
  <c r="G278" i="29"/>
  <c r="H278" i="25"/>
  <c r="BZ278" i="25" s="1"/>
  <c r="G278" i="25"/>
  <c r="CU284" i="19"/>
  <c r="I284" i="19"/>
  <c r="I289" i="24"/>
  <c r="CU289" i="24"/>
  <c r="I293" i="21"/>
  <c r="CU293" i="21"/>
  <c r="BX289" i="24"/>
  <c r="BX293" i="21"/>
  <c r="BX284" i="19"/>
  <c r="I279" i="21"/>
  <c r="CU279" i="21"/>
  <c r="BO264" i="3"/>
  <c r="BE265" i="3"/>
  <c r="I281" i="24"/>
  <c r="CU281" i="24"/>
  <c r="I267" i="22"/>
  <c r="CU267" i="22"/>
  <c r="O32" i="25"/>
  <c r="CU267" i="24"/>
  <c r="I267" i="24"/>
  <c r="G290" i="25"/>
  <c r="H266" i="25"/>
  <c r="BZ266" i="25" s="1"/>
  <c r="H283" i="20"/>
  <c r="BZ283" i="20" s="1"/>
  <c r="CU286" i="19"/>
  <c r="I286" i="19"/>
  <c r="CU271" i="22"/>
  <c r="I271" i="22"/>
  <c r="I291" i="24"/>
  <c r="CU291" i="24"/>
  <c r="I265" i="29"/>
  <c r="CU265" i="29"/>
  <c r="O34" i="22"/>
  <c r="O32" i="23"/>
  <c r="I294" i="26"/>
  <c r="CU294" i="26"/>
  <c r="CU271" i="29"/>
  <c r="I271" i="29"/>
  <c r="CU277" i="25"/>
  <c r="I277" i="25"/>
  <c r="I270" i="21"/>
  <c r="CU270" i="21"/>
  <c r="I286" i="3"/>
  <c r="CE286" i="3"/>
  <c r="CU286" i="3"/>
  <c r="I287" i="26"/>
  <c r="CU287" i="26"/>
  <c r="I276" i="19"/>
  <c r="CU276" i="19"/>
  <c r="BX265" i="29"/>
  <c r="I293" i="23"/>
  <c r="CU293" i="23"/>
  <c r="BV272" i="19"/>
  <c r="H272" i="19" s="1"/>
  <c r="BZ272" i="19" s="1"/>
  <c r="CE287" i="3"/>
  <c r="I287" i="3"/>
  <c r="CU287" i="3"/>
  <c r="CU280" i="27"/>
  <c r="I280" i="27"/>
  <c r="I271" i="28"/>
  <c r="CU271" i="28"/>
  <c r="O34" i="26"/>
  <c r="BV264" i="3"/>
  <c r="BM264" i="3"/>
  <c r="AV265" i="3"/>
  <c r="CU286" i="29"/>
  <c r="I286" i="29"/>
  <c r="BV264" i="29"/>
  <c r="H264" i="29" s="1"/>
  <c r="BX271" i="22"/>
  <c r="O34" i="25"/>
  <c r="CU266" i="25"/>
  <c r="I266" i="25"/>
  <c r="CU283" i="20"/>
  <c r="I283" i="20"/>
  <c r="CU274" i="20"/>
  <c r="I274" i="20"/>
  <c r="CU274" i="22"/>
  <c r="I274" i="22"/>
  <c r="O34" i="21"/>
  <c r="CU268" i="21"/>
  <c r="I268" i="21"/>
  <c r="G269" i="27"/>
  <c r="G275" i="19"/>
  <c r="H273" i="24"/>
  <c r="BZ273" i="24" s="1"/>
  <c r="G276" i="21"/>
  <c r="H294" i="27"/>
  <c r="BZ294" i="27" s="1"/>
  <c r="H289" i="3"/>
  <c r="BZ289" i="3" s="1"/>
  <c r="H280" i="25"/>
  <c r="BZ280" i="25" s="1"/>
  <c r="G268" i="25"/>
  <c r="G270" i="19"/>
  <c r="H286" i="28"/>
  <c r="BZ286" i="28" s="1"/>
  <c r="H284" i="22"/>
  <c r="BZ284" i="22" s="1"/>
  <c r="H276" i="26"/>
  <c r="BZ276" i="26" s="1"/>
  <c r="H270" i="27"/>
  <c r="BZ270" i="27" s="1"/>
  <c r="G272" i="28"/>
  <c r="CU289" i="26"/>
  <c r="I289" i="26"/>
  <c r="G275" i="21"/>
  <c r="G286" i="23"/>
  <c r="G290" i="22"/>
  <c r="G282" i="22"/>
  <c r="G276" i="20"/>
  <c r="H278" i="26"/>
  <c r="BZ278" i="26" s="1"/>
  <c r="G276" i="24"/>
  <c r="H284" i="29"/>
  <c r="BZ284" i="29" s="1"/>
  <c r="G269" i="29"/>
  <c r="H289" i="25"/>
  <c r="BZ289" i="25" s="1"/>
  <c r="H276" i="28"/>
  <c r="BZ276" i="28" s="1"/>
  <c r="G291" i="19"/>
  <c r="H273" i="22"/>
  <c r="BZ273" i="22" s="1"/>
  <c r="G274" i="26"/>
  <c r="H265" i="19"/>
  <c r="BZ265" i="19" s="1"/>
  <c r="CU272" i="20"/>
  <c r="I272" i="20"/>
  <c r="H291" i="27"/>
  <c r="BZ291" i="27" s="1"/>
  <c r="H277" i="20"/>
  <c r="BZ277" i="20" s="1"/>
  <c r="G287" i="23"/>
  <c r="G285" i="19"/>
  <c r="I279" i="22"/>
  <c r="CU279" i="22"/>
  <c r="G293" i="19"/>
  <c r="I292" i="3"/>
  <c r="CE292" i="3"/>
  <c r="CU292" i="3"/>
  <c r="H267" i="26"/>
  <c r="BZ267" i="26" s="1"/>
  <c r="H286" i="25"/>
  <c r="BZ286" i="25" s="1"/>
  <c r="G292" i="24"/>
  <c r="G282" i="25"/>
  <c r="H273" i="20"/>
  <c r="BZ273" i="20" s="1"/>
  <c r="H280" i="26"/>
  <c r="BZ280" i="26" s="1"/>
  <c r="O34" i="24"/>
  <c r="G266" i="28"/>
  <c r="I289" i="27"/>
  <c r="CU289" i="27"/>
  <c r="H293" i="20"/>
  <c r="BZ293" i="20" s="1"/>
  <c r="G281" i="25"/>
  <c r="H294" i="21"/>
  <c r="BZ294" i="21" s="1"/>
  <c r="H291" i="26"/>
  <c r="BZ291" i="26" s="1"/>
  <c r="CU283" i="24"/>
  <c r="I283" i="24"/>
  <c r="G290" i="28"/>
  <c r="O32" i="26"/>
  <c r="G275" i="26"/>
  <c r="G280" i="19"/>
  <c r="O32" i="3"/>
  <c r="G269" i="25"/>
  <c r="G292" i="22"/>
  <c r="G269" i="22"/>
  <c r="CU268" i="26"/>
  <c r="I268" i="26"/>
  <c r="G292" i="29"/>
  <c r="O34" i="29"/>
  <c r="CU290" i="20"/>
  <c r="I290" i="20"/>
  <c r="H278" i="21"/>
  <c r="BZ278" i="21" s="1"/>
  <c r="G292" i="25"/>
  <c r="I285" i="25"/>
  <c r="CU285" i="25"/>
  <c r="H284" i="28"/>
  <c r="BZ284" i="28" s="1"/>
  <c r="CU273" i="24"/>
  <c r="I273" i="24"/>
  <c r="CU294" i="27"/>
  <c r="I294" i="27"/>
  <c r="I289" i="3"/>
  <c r="CE289" i="3"/>
  <c r="CU289" i="3"/>
  <c r="I280" i="25"/>
  <c r="CU280" i="25"/>
  <c r="BV264" i="22"/>
  <c r="G264" i="22" s="1"/>
  <c r="O34" i="23"/>
  <c r="CU286" i="28"/>
  <c r="I286" i="28"/>
  <c r="CU284" i="22"/>
  <c r="I284" i="22"/>
  <c r="CU276" i="26"/>
  <c r="I276" i="26"/>
  <c r="CU270" i="27"/>
  <c r="I270" i="27"/>
  <c r="BX284" i="22"/>
  <c r="CU278" i="26"/>
  <c r="I278" i="26"/>
  <c r="I284" i="29"/>
  <c r="CU284" i="29"/>
  <c r="BX294" i="27"/>
  <c r="CC289" i="3"/>
  <c r="CU289" i="25"/>
  <c r="I289" i="25"/>
  <c r="I276" i="28"/>
  <c r="CU276" i="28"/>
  <c r="I273" i="22"/>
  <c r="CU273" i="22"/>
  <c r="BX274" i="20"/>
  <c r="I265" i="19"/>
  <c r="CU265" i="19"/>
  <c r="CU291" i="27"/>
  <c r="I291" i="27"/>
  <c r="I277" i="20"/>
  <c r="CU277" i="20"/>
  <c r="BX265" i="19"/>
  <c r="BX289" i="26"/>
  <c r="I267" i="26"/>
  <c r="CU267" i="26"/>
  <c r="I286" i="25"/>
  <c r="CU286" i="25"/>
  <c r="CU273" i="20"/>
  <c r="I273" i="20"/>
  <c r="I280" i="26"/>
  <c r="CU280" i="26"/>
  <c r="O32" i="24"/>
  <c r="I293" i="20"/>
  <c r="CU293" i="20"/>
  <c r="O34" i="20"/>
  <c r="I294" i="21"/>
  <c r="CU294" i="21"/>
  <c r="CU291" i="26"/>
  <c r="I291" i="26"/>
  <c r="BX286" i="19"/>
  <c r="O32" i="29"/>
  <c r="I278" i="21"/>
  <c r="CU278" i="21"/>
  <c r="I284" i="28"/>
  <c r="CU284" i="28"/>
  <c r="I280" i="28"/>
  <c r="CU280" i="28"/>
  <c r="I265" i="27"/>
  <c r="CU265" i="27"/>
  <c r="O34" i="27"/>
  <c r="BV264" i="28"/>
  <c r="G264" i="28" s="1"/>
  <c r="CU279" i="23"/>
  <c r="I279" i="23"/>
  <c r="G282" i="29"/>
  <c r="H275" i="22"/>
  <c r="BZ275" i="22" s="1"/>
  <c r="H268" i="29"/>
  <c r="BZ268" i="29" s="1"/>
  <c r="H272" i="21"/>
  <c r="BZ272" i="21" s="1"/>
  <c r="H276" i="29"/>
  <c r="BZ276" i="29" s="1"/>
  <c r="G278" i="24"/>
  <c r="BV264" i="23"/>
  <c r="H281" i="27"/>
  <c r="BZ281" i="27" s="1"/>
  <c r="G294" i="22"/>
  <c r="H278" i="22"/>
  <c r="BZ278" i="22" s="1"/>
  <c r="G294" i="20"/>
  <c r="G275" i="20"/>
  <c r="CU293" i="3"/>
  <c r="I293" i="3"/>
  <c r="CE293" i="3"/>
  <c r="G287" i="28"/>
  <c r="H279" i="24"/>
  <c r="BZ279" i="24" s="1"/>
  <c r="I291" i="29"/>
  <c r="CU291" i="29"/>
  <c r="BX289" i="25"/>
  <c r="CU291" i="25"/>
  <c r="I291" i="25"/>
  <c r="H286" i="26"/>
  <c r="BZ286" i="26" s="1"/>
  <c r="H271" i="25"/>
  <c r="BZ271" i="25" s="1"/>
  <c r="CU282" i="21"/>
  <c r="I282" i="21"/>
  <c r="G279" i="19"/>
  <c r="CH289" i="3"/>
  <c r="G283" i="21"/>
  <c r="G282" i="27"/>
  <c r="H278" i="27"/>
  <c r="BZ278" i="27" s="1"/>
  <c r="G286" i="22"/>
  <c r="H270" i="26"/>
  <c r="BZ270" i="26" s="1"/>
  <c r="H284" i="21"/>
  <c r="BZ284" i="21" s="1"/>
  <c r="G284" i="24"/>
  <c r="G284" i="27"/>
  <c r="CU293" i="24"/>
  <c r="I293" i="24"/>
  <c r="G271" i="19"/>
  <c r="CU286" i="27"/>
  <c r="I286" i="27"/>
  <c r="H271" i="26"/>
  <c r="BZ271" i="26" s="1"/>
  <c r="CU285" i="29"/>
  <c r="I285" i="29"/>
  <c r="G294" i="19"/>
  <c r="G285" i="21"/>
  <c r="BX270" i="27"/>
  <c r="G283" i="29"/>
  <c r="BX282" i="21"/>
  <c r="G277" i="26"/>
  <c r="G289" i="21"/>
  <c r="G282" i="19"/>
  <c r="BX271" i="29"/>
  <c r="H279" i="20"/>
  <c r="BZ279" i="20" s="1"/>
  <c r="G289" i="20"/>
  <c r="I270" i="29"/>
  <c r="CU270" i="29"/>
  <c r="G281" i="28"/>
  <c r="O32" i="20"/>
  <c r="H293" i="25"/>
  <c r="BZ293" i="25" s="1"/>
  <c r="G293" i="26"/>
  <c r="G285" i="3"/>
  <c r="G267" i="29"/>
  <c r="CU287" i="22"/>
  <c r="I287" i="22"/>
  <c r="G289" i="19"/>
  <c r="H288" i="20"/>
  <c r="BZ288" i="20" s="1"/>
  <c r="H277" i="28"/>
  <c r="BZ277" i="28" s="1"/>
  <c r="G269" i="28"/>
  <c r="H271" i="21"/>
  <c r="BZ271" i="21" s="1"/>
  <c r="I272" i="25"/>
  <c r="CU272" i="25"/>
  <c r="H287" i="21"/>
  <c r="BZ287" i="21" s="1"/>
  <c r="I278" i="23"/>
  <c r="CU278" i="23"/>
  <c r="I270" i="25"/>
  <c r="CU270" i="25"/>
  <c r="H290" i="19"/>
  <c r="BZ290" i="19" s="1"/>
  <c r="CU275" i="22"/>
  <c r="I275" i="22"/>
  <c r="CU268" i="29"/>
  <c r="I268" i="29"/>
  <c r="I272" i="21"/>
  <c r="CU272" i="21"/>
  <c r="CU276" i="29"/>
  <c r="I276" i="29"/>
  <c r="CU281" i="27"/>
  <c r="I281" i="27"/>
  <c r="I278" i="22"/>
  <c r="CU278" i="22"/>
  <c r="I279" i="24"/>
  <c r="CU279" i="24"/>
  <c r="CU286" i="26"/>
  <c r="I286" i="26"/>
  <c r="CU271" i="25"/>
  <c r="I271" i="25"/>
  <c r="I278" i="27"/>
  <c r="CU278" i="27"/>
  <c r="CU270" i="26"/>
  <c r="I270" i="26"/>
  <c r="I284" i="21"/>
  <c r="CU284" i="21"/>
  <c r="BX268" i="21"/>
  <c r="BX279" i="24"/>
  <c r="CU271" i="26"/>
  <c r="I271" i="26"/>
  <c r="BX276" i="26"/>
  <c r="CU279" i="20"/>
  <c r="I279" i="20"/>
  <c r="CU293" i="25"/>
  <c r="I293" i="25"/>
  <c r="BX291" i="24"/>
  <c r="BV264" i="26"/>
  <c r="H264" i="26" s="1"/>
  <c r="BN264" i="3"/>
  <c r="BS264" i="3"/>
  <c r="BB265" i="3"/>
  <c r="BQ264" i="3"/>
  <c r="CU288" i="20"/>
  <c r="I288" i="20"/>
  <c r="CU277" i="28"/>
  <c r="I277" i="28"/>
  <c r="H265" i="24"/>
  <c r="BZ265" i="24" s="1"/>
  <c r="H288" i="23"/>
  <c r="BZ288" i="23" s="1"/>
  <c r="I271" i="21"/>
  <c r="CU271" i="21"/>
  <c r="H267" i="21"/>
  <c r="BZ267" i="21" s="1"/>
  <c r="CU287" i="21"/>
  <c r="I287" i="21"/>
  <c r="G271" i="27"/>
  <c r="G292" i="28"/>
  <c r="CU290" i="19"/>
  <c r="I290" i="19"/>
  <c r="O32" i="27"/>
  <c r="CU273" i="29"/>
  <c r="I273" i="29"/>
  <c r="O32" i="22"/>
  <c r="I277" i="27"/>
  <c r="CU277" i="27"/>
  <c r="CU280" i="21"/>
  <c r="I280" i="21"/>
  <c r="I282" i="28"/>
  <c r="CU282" i="28"/>
  <c r="CU288" i="22"/>
  <c r="I288" i="22"/>
  <c r="CU275" i="27"/>
  <c r="I275" i="27"/>
  <c r="I265" i="28"/>
  <c r="CU265" i="28"/>
  <c r="CU273" i="26"/>
  <c r="I273" i="26"/>
  <c r="BX291" i="29"/>
  <c r="O100" i="18"/>
  <c r="CU290" i="3"/>
  <c r="I290" i="3"/>
  <c r="CE290" i="3"/>
  <c r="CU294" i="28"/>
  <c r="I294" i="28"/>
  <c r="BX284" i="21"/>
  <c r="I290" i="27"/>
  <c r="CU290" i="27"/>
  <c r="BX290" i="27"/>
  <c r="BX270" i="21"/>
  <c r="CE279" i="3"/>
  <c r="I279" i="3"/>
  <c r="CU279" i="3"/>
  <c r="I283" i="23"/>
  <c r="CU283" i="23"/>
  <c r="CU285" i="28"/>
  <c r="I285" i="28"/>
  <c r="BX276" i="29"/>
  <c r="CU265" i="26"/>
  <c r="I265" i="26"/>
  <c r="CU285" i="26"/>
  <c r="I285" i="26"/>
  <c r="I274" i="28"/>
  <c r="CU274" i="28"/>
  <c r="BX294" i="26"/>
  <c r="BX279" i="23"/>
  <c r="CU275" i="23"/>
  <c r="I275" i="23"/>
  <c r="CU267" i="25"/>
  <c r="I267" i="25"/>
  <c r="H280" i="24"/>
  <c r="BZ280" i="24" s="1"/>
  <c r="BV264" i="25"/>
  <c r="H264" i="25" s="1"/>
  <c r="I265" i="24"/>
  <c r="CU265" i="24"/>
  <c r="CU288" i="23"/>
  <c r="I288" i="23"/>
  <c r="I267" i="21"/>
  <c r="CU267" i="21"/>
  <c r="BX265" i="27"/>
  <c r="G278" i="28"/>
  <c r="I280" i="20"/>
  <c r="CU280" i="20"/>
  <c r="I275" i="25"/>
  <c r="CU275" i="25"/>
  <c r="BV264" i="19"/>
  <c r="H264" i="19" s="1"/>
  <c r="I292" i="20"/>
  <c r="CU292" i="20"/>
  <c r="I293" i="22"/>
  <c r="CU293" i="22"/>
  <c r="O30" i="18"/>
  <c r="CU267" i="19"/>
  <c r="I267" i="19"/>
  <c r="I277" i="24"/>
  <c r="CU277" i="24"/>
  <c r="CU269" i="21"/>
  <c r="I269" i="21"/>
  <c r="BX280" i="28"/>
  <c r="CU279" i="27"/>
  <c r="I279" i="27"/>
  <c r="CU274" i="21"/>
  <c r="I274" i="21"/>
  <c r="I283" i="26"/>
  <c r="CU283" i="26"/>
  <c r="G265" i="20"/>
  <c r="G291" i="23"/>
  <c r="CU288" i="29"/>
  <c r="I288" i="29"/>
  <c r="BX273" i="24"/>
  <c r="H284" i="19"/>
  <c r="BZ284" i="19" s="1"/>
  <c r="H289" i="24"/>
  <c r="BZ289" i="24" s="1"/>
  <c r="CU272" i="29"/>
  <c r="I272" i="29"/>
  <c r="H293" i="21"/>
  <c r="BZ293" i="21" s="1"/>
  <c r="BX286" i="28"/>
  <c r="G266" i="20"/>
  <c r="G269" i="19"/>
  <c r="G292" i="26"/>
  <c r="G290" i="24"/>
  <c r="CU268" i="24"/>
  <c r="I268" i="24"/>
  <c r="I283" i="3"/>
  <c r="CE283" i="3"/>
  <c r="CU283" i="3"/>
  <c r="G279" i="26"/>
  <c r="CU265" i="21"/>
  <c r="I265" i="21"/>
  <c r="G277" i="21"/>
  <c r="G274" i="25"/>
  <c r="G290" i="29"/>
  <c r="I282" i="26"/>
  <c r="CU282" i="26"/>
  <c r="BX292" i="20"/>
  <c r="G265" i="25"/>
  <c r="G291" i="3"/>
  <c r="I283" i="28"/>
  <c r="CU283" i="28"/>
  <c r="BX273" i="29"/>
  <c r="CU285" i="23"/>
  <c r="I285" i="23"/>
  <c r="G289" i="23"/>
  <c r="I279" i="29"/>
  <c r="CU279" i="29"/>
  <c r="BV264" i="24"/>
  <c r="H264" i="24" s="1"/>
  <c r="BX278" i="26"/>
  <c r="BV264" i="20"/>
  <c r="G264" i="20" s="1"/>
  <c r="BX264" i="20" s="1"/>
  <c r="I282" i="3"/>
  <c r="CU282" i="3"/>
  <c r="CE282" i="3"/>
  <c r="I269" i="24"/>
  <c r="CU269" i="24"/>
  <c r="BX293" i="24"/>
  <c r="G292" i="23"/>
  <c r="H279" i="21"/>
  <c r="BZ279" i="21" s="1"/>
  <c r="CH283" i="3"/>
  <c r="BX283" i="26"/>
  <c r="G284" i="26"/>
  <c r="BX273" i="20"/>
  <c r="AT295" i="3"/>
  <c r="G380" i="3"/>
  <c r="BX279" i="20"/>
  <c r="BX270" i="26"/>
  <c r="G288" i="21"/>
  <c r="I280" i="24"/>
  <c r="CU280" i="24"/>
  <c r="H281" i="24"/>
  <c r="BZ281" i="24" s="1"/>
  <c r="H267" i="22"/>
  <c r="BZ267" i="22" s="1"/>
  <c r="H267" i="24"/>
  <c r="BZ267" i="24" s="1"/>
  <c r="I289" i="29"/>
  <c r="CU289" i="29"/>
  <c r="BX293" i="23"/>
  <c r="BX282" i="28"/>
  <c r="A34" i="3" l="1"/>
  <c r="F34" i="3"/>
  <c r="BX294" i="25"/>
  <c r="I284" i="20"/>
  <c r="I289" i="28"/>
  <c r="DJ289" i="28" s="1"/>
  <c r="I267" i="28"/>
  <c r="DJ267" i="28" s="1"/>
  <c r="I272" i="27"/>
  <c r="DJ272" i="27" s="1"/>
  <c r="BX284" i="25"/>
  <c r="I287" i="27"/>
  <c r="DJ287" i="27" s="1"/>
  <c r="I291" i="20"/>
  <c r="DJ291" i="20" s="1"/>
  <c r="I284" i="25"/>
  <c r="DJ284" i="25" s="1"/>
  <c r="BX272" i="27"/>
  <c r="BX287" i="27"/>
  <c r="I270" i="20"/>
  <c r="DI270" i="20" s="1"/>
  <c r="BX276" i="23"/>
  <c r="BX288" i="19"/>
  <c r="I284" i="23"/>
  <c r="DJ284" i="23" s="1"/>
  <c r="BX282" i="24"/>
  <c r="I283" i="22"/>
  <c r="DJ283" i="22" s="1"/>
  <c r="BX293" i="27"/>
  <c r="H264" i="3"/>
  <c r="BZ264" i="3" s="1"/>
  <c r="CU266" i="24"/>
  <c r="I280" i="3"/>
  <c r="DJ280" i="3" s="1"/>
  <c r="BX281" i="20"/>
  <c r="CU268" i="22"/>
  <c r="CU283" i="22"/>
  <c r="CC294" i="3"/>
  <c r="I294" i="3"/>
  <c r="DI294" i="3" s="1"/>
  <c r="CE280" i="3"/>
  <c r="I266" i="24"/>
  <c r="DI266" i="24" s="1"/>
  <c r="BX287" i="25"/>
  <c r="CC280" i="3"/>
  <c r="I287" i="25"/>
  <c r="DI287" i="25" s="1"/>
  <c r="CU280" i="3"/>
  <c r="CH280" i="3"/>
  <c r="CU291" i="20"/>
  <c r="BX288" i="25"/>
  <c r="CU285" i="22"/>
  <c r="CH288" i="3"/>
  <c r="BX284" i="23"/>
  <c r="CU293" i="27"/>
  <c r="CU288" i="19"/>
  <c r="CC288" i="3"/>
  <c r="BX290" i="21"/>
  <c r="BX271" i="24"/>
  <c r="I288" i="3"/>
  <c r="DA288" i="3" s="1"/>
  <c r="BX292" i="21"/>
  <c r="I290" i="21"/>
  <c r="DJ290" i="21" s="1"/>
  <c r="I272" i="26"/>
  <c r="DI272" i="26" s="1"/>
  <c r="I272" i="24"/>
  <c r="DJ272" i="24" s="1"/>
  <c r="I271" i="24"/>
  <c r="DI271" i="24" s="1"/>
  <c r="I269" i="26"/>
  <c r="DJ269" i="26" s="1"/>
  <c r="CE288" i="3"/>
  <c r="I282" i="24"/>
  <c r="DJ282" i="24" s="1"/>
  <c r="I292" i="21"/>
  <c r="DJ292" i="21" s="1"/>
  <c r="CU290" i="26"/>
  <c r="CU272" i="26"/>
  <c r="I291" i="28"/>
  <c r="DI291" i="28" s="1"/>
  <c r="BX272" i="24"/>
  <c r="CU269" i="26"/>
  <c r="BX285" i="22"/>
  <c r="CU288" i="3"/>
  <c r="BX290" i="26"/>
  <c r="BX291" i="28"/>
  <c r="CU281" i="21"/>
  <c r="BX294" i="29"/>
  <c r="CU294" i="29"/>
  <c r="BX267" i="28"/>
  <c r="CE294" i="3"/>
  <c r="I268" i="22"/>
  <c r="DJ268" i="22" s="1"/>
  <c r="BX294" i="3"/>
  <c r="CH294" i="3"/>
  <c r="CU281" i="20"/>
  <c r="BX278" i="20"/>
  <c r="CU284" i="20"/>
  <c r="BX289" i="28"/>
  <c r="CU294" i="25"/>
  <c r="I278" i="20"/>
  <c r="DI278" i="20" s="1"/>
  <c r="BX287" i="24"/>
  <c r="I281" i="21"/>
  <c r="DJ281" i="21" s="1"/>
  <c r="I287" i="29"/>
  <c r="DI287" i="29" s="1"/>
  <c r="CU287" i="24"/>
  <c r="I276" i="23"/>
  <c r="DJ276" i="23" s="1"/>
  <c r="BX287" i="29"/>
  <c r="CU268" i="19"/>
  <c r="CU279" i="28"/>
  <c r="I267" i="20"/>
  <c r="DI267" i="20" s="1"/>
  <c r="I268" i="19"/>
  <c r="DJ268" i="19" s="1"/>
  <c r="I279" i="28"/>
  <c r="DJ279" i="28" s="1"/>
  <c r="I273" i="19"/>
  <c r="DI273" i="19" s="1"/>
  <c r="BX267" i="20"/>
  <c r="I281" i="29"/>
  <c r="DJ281" i="29" s="1"/>
  <c r="BX273" i="19"/>
  <c r="CU281" i="29"/>
  <c r="CU276" i="22"/>
  <c r="CU270" i="20"/>
  <c r="I276" i="22"/>
  <c r="DJ276" i="22" s="1"/>
  <c r="CU271" i="20"/>
  <c r="I281" i="19"/>
  <c r="DJ281" i="19" s="1"/>
  <c r="CU286" i="21"/>
  <c r="I270" i="24"/>
  <c r="DI270" i="24" s="1"/>
  <c r="BX274" i="27"/>
  <c r="CU291" i="22"/>
  <c r="I285" i="24"/>
  <c r="DJ285" i="24" s="1"/>
  <c r="BX285" i="24"/>
  <c r="I271" i="20"/>
  <c r="DJ271" i="20" s="1"/>
  <c r="CU281" i="19"/>
  <c r="I288" i="25"/>
  <c r="DI288" i="25" s="1"/>
  <c r="I286" i="21"/>
  <c r="DJ286" i="21" s="1"/>
  <c r="CU274" i="27"/>
  <c r="I291" i="22"/>
  <c r="DI291" i="22" s="1"/>
  <c r="CU276" i="25"/>
  <c r="BX276" i="25"/>
  <c r="CU270" i="24"/>
  <c r="CU286" i="24"/>
  <c r="G264" i="3"/>
  <c r="CY264" i="3" s="1"/>
  <c r="BX266" i="22"/>
  <c r="CU273" i="28"/>
  <c r="CU289" i="22"/>
  <c r="CU277" i="22"/>
  <c r="I288" i="27"/>
  <c r="DI288" i="27" s="1"/>
  <c r="BX267" i="27"/>
  <c r="I266" i="22"/>
  <c r="DI266" i="22" s="1"/>
  <c r="BX273" i="28"/>
  <c r="CU288" i="27"/>
  <c r="I267" i="27"/>
  <c r="DI267" i="27" s="1"/>
  <c r="BX288" i="26"/>
  <c r="CU275" i="24"/>
  <c r="CU266" i="26"/>
  <c r="I288" i="26"/>
  <c r="DI288" i="26" s="1"/>
  <c r="CU266" i="21"/>
  <c r="CU268" i="28"/>
  <c r="I274" i="24"/>
  <c r="DI274" i="24" s="1"/>
  <c r="BX293" i="28"/>
  <c r="BX275" i="24"/>
  <c r="BX266" i="26"/>
  <c r="I266" i="21"/>
  <c r="DJ266" i="21" s="1"/>
  <c r="BX268" i="28"/>
  <c r="CU274" i="24"/>
  <c r="I293" i="28"/>
  <c r="DJ293" i="28" s="1"/>
  <c r="I277" i="22"/>
  <c r="DJ277" i="22" s="1"/>
  <c r="I289" i="22"/>
  <c r="DI289" i="22" s="1"/>
  <c r="I283" i="27"/>
  <c r="DI283" i="27" s="1"/>
  <c r="I285" i="27"/>
  <c r="DI285" i="27" s="1"/>
  <c r="CU274" i="19"/>
  <c r="CU285" i="27"/>
  <c r="I274" i="19"/>
  <c r="DJ274" i="19" s="1"/>
  <c r="CU273" i="25"/>
  <c r="CU278" i="19"/>
  <c r="I273" i="25"/>
  <c r="DJ273" i="25" s="1"/>
  <c r="BX276" i="27"/>
  <c r="BX278" i="19"/>
  <c r="I274" i="29"/>
  <c r="DJ274" i="29" s="1"/>
  <c r="CU276" i="27"/>
  <c r="CU293" i="29"/>
  <c r="BX274" i="29"/>
  <c r="BX293" i="29"/>
  <c r="BX283" i="27"/>
  <c r="CU281" i="3"/>
  <c r="CU272" i="22"/>
  <c r="CE281" i="3"/>
  <c r="BX272" i="22"/>
  <c r="CU277" i="23"/>
  <c r="CH281" i="3"/>
  <c r="CU287" i="19"/>
  <c r="BX281" i="3"/>
  <c r="I277" i="23"/>
  <c r="DJ277" i="23" s="1"/>
  <c r="CC281" i="3"/>
  <c r="I270" i="22"/>
  <c r="DJ270" i="22" s="1"/>
  <c r="I270" i="28"/>
  <c r="DI270" i="28" s="1"/>
  <c r="BX287" i="19"/>
  <c r="CU270" i="28"/>
  <c r="BX266" i="27"/>
  <c r="I266" i="27"/>
  <c r="DJ266" i="27" s="1"/>
  <c r="I281" i="22"/>
  <c r="DI281" i="22" s="1"/>
  <c r="BX281" i="22"/>
  <c r="BX270" i="22"/>
  <c r="I277" i="29"/>
  <c r="DI277" i="29" s="1"/>
  <c r="BX286" i="24"/>
  <c r="CU288" i="28"/>
  <c r="CU277" i="29"/>
  <c r="I279" i="25"/>
  <c r="DJ279" i="25" s="1"/>
  <c r="I288" i="28"/>
  <c r="DI288" i="28" s="1"/>
  <c r="CU268" i="27"/>
  <c r="CU279" i="25"/>
  <c r="I294" i="24"/>
  <c r="DI294" i="24" s="1"/>
  <c r="I285" i="20"/>
  <c r="DJ285" i="20" s="1"/>
  <c r="I268" i="27"/>
  <c r="DJ268" i="27" s="1"/>
  <c r="CU280" i="22"/>
  <c r="CU273" i="21"/>
  <c r="BX294" i="24"/>
  <c r="CU285" i="20"/>
  <c r="I280" i="22"/>
  <c r="DJ280" i="22" s="1"/>
  <c r="I273" i="21"/>
  <c r="DJ273" i="21" s="1"/>
  <c r="CU282" i="20"/>
  <c r="BX282" i="20"/>
  <c r="H264" i="28"/>
  <c r="H295" i="28" s="1"/>
  <c r="F304" i="28" s="1"/>
  <c r="G264" i="21"/>
  <c r="G295" i="21" s="1"/>
  <c r="DI265" i="21"/>
  <c r="DJ265" i="21"/>
  <c r="DJ292" i="20"/>
  <c r="DI292" i="20"/>
  <c r="DJ265" i="26"/>
  <c r="DI265" i="26"/>
  <c r="DJ277" i="28"/>
  <c r="DI277" i="28"/>
  <c r="E32" i="28"/>
  <c r="A32" i="28"/>
  <c r="F32" i="28"/>
  <c r="DI280" i="24"/>
  <c r="DJ280" i="24"/>
  <c r="DJ279" i="29"/>
  <c r="DI279" i="29"/>
  <c r="CU265" i="25"/>
  <c r="I265" i="25"/>
  <c r="BX265" i="25"/>
  <c r="I292" i="26"/>
  <c r="BX292" i="26"/>
  <c r="CU292" i="26"/>
  <c r="DJ274" i="21"/>
  <c r="DI274" i="21"/>
  <c r="DI277" i="24"/>
  <c r="DJ277" i="24"/>
  <c r="G264" i="19"/>
  <c r="DI285" i="28"/>
  <c r="DJ285" i="28"/>
  <c r="DJ283" i="23"/>
  <c r="DI283" i="23"/>
  <c r="DJ294" i="25"/>
  <c r="DI294" i="25"/>
  <c r="DI293" i="25"/>
  <c r="DJ293" i="25"/>
  <c r="DJ270" i="25"/>
  <c r="DI270" i="25"/>
  <c r="BX285" i="3"/>
  <c r="CE285" i="3"/>
  <c r="CH285" i="3"/>
  <c r="CU285" i="3"/>
  <c r="CC285" i="3"/>
  <c r="I285" i="3"/>
  <c r="DI270" i="29"/>
  <c r="DJ270" i="29"/>
  <c r="CU275" i="20"/>
  <c r="BX275" i="20"/>
  <c r="I275" i="20"/>
  <c r="I264" i="28"/>
  <c r="G295" i="28"/>
  <c r="CU264" i="28"/>
  <c r="DJ284" i="28"/>
  <c r="DI284" i="28"/>
  <c r="DJ291" i="26"/>
  <c r="DI291" i="26"/>
  <c r="DJ293" i="20"/>
  <c r="DI293" i="20"/>
  <c r="DJ286" i="25"/>
  <c r="DI286" i="25"/>
  <c r="DJ289" i="25"/>
  <c r="DI289" i="25"/>
  <c r="DI284" i="22"/>
  <c r="DJ284" i="22"/>
  <c r="CU269" i="22"/>
  <c r="I269" i="22"/>
  <c r="BX269" i="22"/>
  <c r="CU292" i="24"/>
  <c r="I292" i="24"/>
  <c r="BX292" i="24"/>
  <c r="DJ279" i="22"/>
  <c r="DI279" i="22"/>
  <c r="CU286" i="23"/>
  <c r="I286" i="23"/>
  <c r="BX286" i="23"/>
  <c r="I275" i="19"/>
  <c r="CU275" i="19"/>
  <c r="BX275" i="19"/>
  <c r="DJ274" i="20"/>
  <c r="DI274" i="20"/>
  <c r="BM265" i="3"/>
  <c r="AV266" i="3"/>
  <c r="G272" i="19"/>
  <c r="DI293" i="23"/>
  <c r="DJ293" i="23"/>
  <c r="E32" i="23"/>
  <c r="F32" i="23"/>
  <c r="A32" i="23"/>
  <c r="DJ271" i="22"/>
  <c r="DI271" i="22"/>
  <c r="DI279" i="21"/>
  <c r="DJ279" i="21"/>
  <c r="I278" i="29"/>
  <c r="CU278" i="29"/>
  <c r="BX278" i="29"/>
  <c r="DI293" i="27"/>
  <c r="DJ293" i="27"/>
  <c r="I265" i="22"/>
  <c r="CU265" i="22"/>
  <c r="BX265" i="22"/>
  <c r="BZ264" i="21"/>
  <c r="H295" i="21"/>
  <c r="F304" i="21" s="1"/>
  <c r="CU266" i="29"/>
  <c r="I266" i="29"/>
  <c r="BX266" i="29"/>
  <c r="CU291" i="3"/>
  <c r="CE291" i="3"/>
  <c r="I291" i="3"/>
  <c r="BX291" i="3"/>
  <c r="CH291" i="3"/>
  <c r="CC291" i="3"/>
  <c r="DJ283" i="26"/>
  <c r="DI283" i="26"/>
  <c r="DJ275" i="23"/>
  <c r="DI275" i="23"/>
  <c r="DD290" i="3"/>
  <c r="DA290" i="3"/>
  <c r="DJ290" i="3"/>
  <c r="DI290" i="3"/>
  <c r="DB290" i="3"/>
  <c r="I283" i="21"/>
  <c r="BX283" i="21"/>
  <c r="CU283" i="21"/>
  <c r="I264" i="22"/>
  <c r="CU264" i="22"/>
  <c r="G295" i="22"/>
  <c r="BX282" i="25"/>
  <c r="CU282" i="25"/>
  <c r="I282" i="25"/>
  <c r="I290" i="22"/>
  <c r="CU290" i="22"/>
  <c r="BX290" i="22"/>
  <c r="DI288" i="19"/>
  <c r="DJ288" i="19"/>
  <c r="DJ291" i="24"/>
  <c r="DI291" i="24"/>
  <c r="CU269" i="19"/>
  <c r="I269" i="19"/>
  <c r="BX269" i="19"/>
  <c r="DJ267" i="19"/>
  <c r="DI267" i="19"/>
  <c r="BZ264" i="19"/>
  <c r="H295" i="19"/>
  <c r="F304" i="19" s="1"/>
  <c r="DI267" i="21"/>
  <c r="DJ267" i="21"/>
  <c r="DI294" i="28"/>
  <c r="DJ294" i="28"/>
  <c r="DI282" i="28"/>
  <c r="DJ282" i="28"/>
  <c r="E32" i="27"/>
  <c r="A32" i="27"/>
  <c r="F32" i="27"/>
  <c r="DI288" i="20"/>
  <c r="DJ288" i="20"/>
  <c r="DI268" i="28"/>
  <c r="DJ268" i="28"/>
  <c r="DJ278" i="27"/>
  <c r="DI278" i="27"/>
  <c r="DJ272" i="21"/>
  <c r="DI272" i="21"/>
  <c r="I269" i="28"/>
  <c r="CU269" i="28"/>
  <c r="BX269" i="28"/>
  <c r="I289" i="20"/>
  <c r="CU289" i="20"/>
  <c r="BX289" i="20"/>
  <c r="DI286" i="27"/>
  <c r="DJ286" i="27"/>
  <c r="I279" i="19"/>
  <c r="BX279" i="19"/>
  <c r="CU279" i="19"/>
  <c r="CU294" i="20"/>
  <c r="I294" i="20"/>
  <c r="BX294" i="20"/>
  <c r="E34" i="27"/>
  <c r="A34" i="27"/>
  <c r="F34" i="27"/>
  <c r="F32" i="24"/>
  <c r="A32" i="24"/>
  <c r="E32" i="24"/>
  <c r="DJ280" i="25"/>
  <c r="DI280" i="25"/>
  <c r="DJ290" i="20"/>
  <c r="DI290" i="20"/>
  <c r="CU292" i="22"/>
  <c r="BX292" i="22"/>
  <c r="I292" i="22"/>
  <c r="I290" i="28"/>
  <c r="BX290" i="28"/>
  <c r="CU290" i="28"/>
  <c r="DJ289" i="27"/>
  <c r="DI289" i="27"/>
  <c r="CU285" i="19"/>
  <c r="BX285" i="19"/>
  <c r="I285" i="19"/>
  <c r="CU269" i="29"/>
  <c r="BX269" i="29"/>
  <c r="I269" i="29"/>
  <c r="CU275" i="21"/>
  <c r="I275" i="21"/>
  <c r="BX275" i="21"/>
  <c r="I270" i="19"/>
  <c r="CU270" i="19"/>
  <c r="BX270" i="19"/>
  <c r="BX269" i="27"/>
  <c r="CU269" i="27"/>
  <c r="I269" i="27"/>
  <c r="DJ280" i="27"/>
  <c r="DI280" i="27"/>
  <c r="DI276" i="19"/>
  <c r="DJ276" i="19"/>
  <c r="DJ270" i="21"/>
  <c r="DI270" i="21"/>
  <c r="DJ293" i="29"/>
  <c r="DI293" i="29"/>
  <c r="CU291" i="21"/>
  <c r="I291" i="21"/>
  <c r="BX291" i="21"/>
  <c r="BX287" i="20"/>
  <c r="CU287" i="20"/>
  <c r="I287" i="20"/>
  <c r="CU273" i="27"/>
  <c r="I273" i="27"/>
  <c r="BX273" i="27"/>
  <c r="DI273" i="29"/>
  <c r="DJ273" i="29"/>
  <c r="DJ279" i="24"/>
  <c r="DI279" i="24"/>
  <c r="DJ267" i="24"/>
  <c r="DI267" i="24"/>
  <c r="BX288" i="21"/>
  <c r="I288" i="21"/>
  <c r="CU288" i="21"/>
  <c r="I279" i="26"/>
  <c r="CU279" i="26"/>
  <c r="BX279" i="26"/>
  <c r="H264" i="20"/>
  <c r="DI285" i="23"/>
  <c r="DJ285" i="23"/>
  <c r="BX266" i="20"/>
  <c r="CU266" i="20"/>
  <c r="I266" i="20"/>
  <c r="DJ288" i="29"/>
  <c r="DI288" i="29"/>
  <c r="DI279" i="27"/>
  <c r="DJ279" i="27"/>
  <c r="DJ288" i="23"/>
  <c r="DI288" i="23"/>
  <c r="DD279" i="3"/>
  <c r="DB279" i="3"/>
  <c r="DJ279" i="3"/>
  <c r="DI279" i="3"/>
  <c r="DA279" i="3"/>
  <c r="DI273" i="26"/>
  <c r="DJ273" i="26"/>
  <c r="DJ294" i="29"/>
  <c r="DI294" i="29"/>
  <c r="G264" i="26"/>
  <c r="DI279" i="20"/>
  <c r="DJ279" i="20"/>
  <c r="DJ271" i="26"/>
  <c r="DI271" i="26"/>
  <c r="DA281" i="3"/>
  <c r="DJ281" i="3"/>
  <c r="DB281" i="3"/>
  <c r="DI281" i="3"/>
  <c r="DD281" i="3"/>
  <c r="DI271" i="25"/>
  <c r="DJ271" i="25"/>
  <c r="DJ286" i="24"/>
  <c r="DI286" i="24"/>
  <c r="DJ268" i="29"/>
  <c r="DI268" i="29"/>
  <c r="DI278" i="23"/>
  <c r="DJ278" i="23"/>
  <c r="CU293" i="26"/>
  <c r="I293" i="26"/>
  <c r="BX293" i="26"/>
  <c r="CU283" i="29"/>
  <c r="I283" i="29"/>
  <c r="BX283" i="29"/>
  <c r="DI282" i="21"/>
  <c r="DJ282" i="21"/>
  <c r="DJ291" i="29"/>
  <c r="DI291" i="29"/>
  <c r="DJ278" i="21"/>
  <c r="DI278" i="21"/>
  <c r="E32" i="29"/>
  <c r="A32" i="29"/>
  <c r="F32" i="29"/>
  <c r="DJ267" i="26"/>
  <c r="DI267" i="26"/>
  <c r="DJ273" i="22"/>
  <c r="DI273" i="22"/>
  <c r="DJ270" i="27"/>
  <c r="DI270" i="27"/>
  <c r="DI286" i="28"/>
  <c r="DJ286" i="28"/>
  <c r="CU269" i="25"/>
  <c r="I269" i="25"/>
  <c r="BX269" i="25"/>
  <c r="DJ283" i="24"/>
  <c r="DI283" i="24"/>
  <c r="CU266" i="28"/>
  <c r="BX266" i="28"/>
  <c r="I266" i="28"/>
  <c r="I287" i="23"/>
  <c r="BX287" i="23"/>
  <c r="CU287" i="23"/>
  <c r="CU274" i="26"/>
  <c r="BX274" i="26"/>
  <c r="I274" i="26"/>
  <c r="DJ289" i="26"/>
  <c r="DI289" i="26"/>
  <c r="CU268" i="25"/>
  <c r="I268" i="25"/>
  <c r="BX268" i="25"/>
  <c r="DJ268" i="21"/>
  <c r="DI268" i="21"/>
  <c r="DI283" i="20"/>
  <c r="DJ283" i="20"/>
  <c r="F34" i="25"/>
  <c r="A34" i="25"/>
  <c r="E34" i="25"/>
  <c r="DI277" i="25"/>
  <c r="DJ277" i="25"/>
  <c r="E34" i="22"/>
  <c r="A34" i="22"/>
  <c r="F34" i="22"/>
  <c r="DJ286" i="19"/>
  <c r="DI286" i="19"/>
  <c r="BX264" i="28"/>
  <c r="E32" i="25"/>
  <c r="A32" i="25"/>
  <c r="F32" i="25"/>
  <c r="BE266" i="3"/>
  <c r="BO265" i="3"/>
  <c r="DI281" i="20"/>
  <c r="DJ281" i="20"/>
  <c r="DJ289" i="24"/>
  <c r="DI289" i="24"/>
  <c r="DJ273" i="28"/>
  <c r="DI273" i="28"/>
  <c r="F32" i="21"/>
  <c r="A32" i="21"/>
  <c r="E32" i="21"/>
  <c r="CU280" i="29"/>
  <c r="I280" i="29"/>
  <c r="BX280" i="29"/>
  <c r="H264" i="27"/>
  <c r="I277" i="26"/>
  <c r="CU277" i="26"/>
  <c r="BX277" i="26"/>
  <c r="DJ291" i="27"/>
  <c r="DI291" i="27"/>
  <c r="I292" i="25"/>
  <c r="BX292" i="25"/>
  <c r="CU292" i="25"/>
  <c r="DI272" i="20"/>
  <c r="DJ272" i="20"/>
  <c r="DJ294" i="26"/>
  <c r="DI294" i="26"/>
  <c r="BX264" i="22"/>
  <c r="DJ282" i="3"/>
  <c r="DD282" i="3"/>
  <c r="DI282" i="3"/>
  <c r="DB282" i="3"/>
  <c r="DA282" i="3"/>
  <c r="CU289" i="23"/>
  <c r="I289" i="23"/>
  <c r="BX289" i="23"/>
  <c r="DJ289" i="29"/>
  <c r="DI289" i="29"/>
  <c r="BX292" i="23"/>
  <c r="I292" i="23"/>
  <c r="CU292" i="23"/>
  <c r="G295" i="20"/>
  <c r="I264" i="20"/>
  <c r="CU264" i="20"/>
  <c r="DJ282" i="26"/>
  <c r="DI282" i="26"/>
  <c r="DJ275" i="25"/>
  <c r="DI275" i="25"/>
  <c r="DJ280" i="21"/>
  <c r="DI280" i="21"/>
  <c r="A32" i="22"/>
  <c r="E32" i="22"/>
  <c r="F32" i="22"/>
  <c r="DJ290" i="19"/>
  <c r="DI290" i="19"/>
  <c r="DJ271" i="21"/>
  <c r="DI271" i="21"/>
  <c r="BZ264" i="26"/>
  <c r="H295" i="26"/>
  <c r="F304" i="26" s="1"/>
  <c r="DJ278" i="22"/>
  <c r="DI278" i="22"/>
  <c r="BX271" i="19"/>
  <c r="CU271" i="19"/>
  <c r="I271" i="19"/>
  <c r="BX286" i="22"/>
  <c r="CU286" i="22"/>
  <c r="I286" i="22"/>
  <c r="I294" i="22"/>
  <c r="CU294" i="22"/>
  <c r="BX294" i="22"/>
  <c r="DI284" i="29"/>
  <c r="DJ284" i="29"/>
  <c r="F34" i="29"/>
  <c r="A34" i="29"/>
  <c r="E34" i="29"/>
  <c r="E32" i="3"/>
  <c r="A32" i="3"/>
  <c r="F32" i="3"/>
  <c r="A34" i="24"/>
  <c r="E34" i="24"/>
  <c r="F34" i="24"/>
  <c r="I276" i="24"/>
  <c r="CU276" i="24"/>
  <c r="BX276" i="24"/>
  <c r="DJ275" i="24"/>
  <c r="DI275" i="24"/>
  <c r="DJ287" i="26"/>
  <c r="DI287" i="26"/>
  <c r="DJ284" i="19"/>
  <c r="DI284" i="19"/>
  <c r="I269" i="20"/>
  <c r="CU269" i="20"/>
  <c r="BX269" i="20"/>
  <c r="I292" i="27"/>
  <c r="CU292" i="27"/>
  <c r="BX292" i="27"/>
  <c r="I281" i="26"/>
  <c r="CU281" i="26"/>
  <c r="BX281" i="26"/>
  <c r="I286" i="20"/>
  <c r="CU286" i="20"/>
  <c r="BX286" i="20"/>
  <c r="I264" i="27"/>
  <c r="CU264" i="27"/>
  <c r="G295" i="27"/>
  <c r="CU284" i="26"/>
  <c r="I284" i="26"/>
  <c r="BX284" i="26"/>
  <c r="BS265" i="3"/>
  <c r="BN265" i="3"/>
  <c r="BB266" i="3"/>
  <c r="BQ265" i="3"/>
  <c r="BX284" i="24"/>
  <c r="CU284" i="24"/>
  <c r="I284" i="24"/>
  <c r="F34" i="19"/>
  <c r="A34" i="19"/>
  <c r="E34" i="19"/>
  <c r="CU290" i="29"/>
  <c r="I290" i="29"/>
  <c r="BX290" i="29"/>
  <c r="DD283" i="3"/>
  <c r="DI283" i="3"/>
  <c r="DJ283" i="3"/>
  <c r="DA283" i="3"/>
  <c r="DB283" i="3"/>
  <c r="CU291" i="23"/>
  <c r="BX291" i="23"/>
  <c r="I291" i="23"/>
  <c r="DJ274" i="28"/>
  <c r="DI274" i="28"/>
  <c r="DJ284" i="20"/>
  <c r="DI284" i="20"/>
  <c r="DJ275" i="27"/>
  <c r="DI275" i="27"/>
  <c r="DJ286" i="26"/>
  <c r="DI286" i="26"/>
  <c r="DI281" i="27"/>
  <c r="DJ281" i="27"/>
  <c r="DI275" i="22"/>
  <c r="DJ275" i="22"/>
  <c r="I289" i="19"/>
  <c r="CU289" i="19"/>
  <c r="BX289" i="19"/>
  <c r="E32" i="20"/>
  <c r="F32" i="20"/>
  <c r="A32" i="20"/>
  <c r="BX282" i="19"/>
  <c r="I282" i="19"/>
  <c r="CU282" i="19"/>
  <c r="BX285" i="21"/>
  <c r="CU285" i="21"/>
  <c r="I285" i="21"/>
  <c r="DJ293" i="24"/>
  <c r="DI293" i="24"/>
  <c r="I287" i="28"/>
  <c r="CU287" i="28"/>
  <c r="BX287" i="28"/>
  <c r="BX282" i="29"/>
  <c r="CU282" i="29"/>
  <c r="I282" i="29"/>
  <c r="DJ265" i="27"/>
  <c r="DI265" i="27"/>
  <c r="DI294" i="21"/>
  <c r="DJ294" i="21"/>
  <c r="DJ280" i="26"/>
  <c r="DI280" i="26"/>
  <c r="DJ276" i="28"/>
  <c r="DI276" i="28"/>
  <c r="DJ278" i="26"/>
  <c r="DI278" i="26"/>
  <c r="A34" i="23"/>
  <c r="F34" i="23"/>
  <c r="E34" i="23"/>
  <c r="DA289" i="3"/>
  <c r="DD289" i="3"/>
  <c r="DI289" i="3"/>
  <c r="DB289" i="3"/>
  <c r="DJ289" i="3"/>
  <c r="CU291" i="19"/>
  <c r="BX291" i="19"/>
  <c r="I291" i="19"/>
  <c r="I272" i="28"/>
  <c r="CU272" i="28"/>
  <c r="BX272" i="28"/>
  <c r="A34" i="21"/>
  <c r="F34" i="21"/>
  <c r="E34" i="21"/>
  <c r="DI266" i="25"/>
  <c r="DJ266" i="25"/>
  <c r="G264" i="29"/>
  <c r="DD287" i="3"/>
  <c r="DI287" i="3"/>
  <c r="DA287" i="3"/>
  <c r="DJ287" i="3"/>
  <c r="DB287" i="3"/>
  <c r="DB286" i="3"/>
  <c r="DA286" i="3"/>
  <c r="DJ286" i="3"/>
  <c r="DD286" i="3"/>
  <c r="DI286" i="3"/>
  <c r="DI271" i="29"/>
  <c r="DJ271" i="29"/>
  <c r="DJ267" i="22"/>
  <c r="DI267" i="22"/>
  <c r="DJ290" i="26"/>
  <c r="DI290" i="26"/>
  <c r="DJ282" i="20"/>
  <c r="DI282" i="20"/>
  <c r="I284" i="3"/>
  <c r="CU284" i="3"/>
  <c r="CE284" i="3"/>
  <c r="CH284" i="3"/>
  <c r="CC284" i="3"/>
  <c r="BX284" i="3"/>
  <c r="DI274" i="27"/>
  <c r="DJ274" i="27"/>
  <c r="BX288" i="24"/>
  <c r="CU288" i="24"/>
  <c r="I288" i="24"/>
  <c r="A34" i="28"/>
  <c r="E34" i="28"/>
  <c r="F34" i="28"/>
  <c r="A32" i="19"/>
  <c r="E32" i="19"/>
  <c r="F32" i="19"/>
  <c r="I294" i="23"/>
  <c r="CU294" i="23"/>
  <c r="BX294" i="23"/>
  <c r="CU292" i="19"/>
  <c r="I292" i="19"/>
  <c r="BX292" i="19"/>
  <c r="I283" i="25"/>
  <c r="CU283" i="25"/>
  <c r="BX283" i="25"/>
  <c r="I290" i="24"/>
  <c r="BX290" i="24"/>
  <c r="CU290" i="24"/>
  <c r="BX267" i="29"/>
  <c r="CU267" i="29"/>
  <c r="I267" i="29"/>
  <c r="DJ276" i="25"/>
  <c r="DI276" i="25"/>
  <c r="A32" i="26"/>
  <c r="E32" i="26"/>
  <c r="F32" i="26"/>
  <c r="A449" i="3"/>
  <c r="AT263" i="19"/>
  <c r="I211" i="3"/>
  <c r="I155" i="3" s="1"/>
  <c r="G264" i="24"/>
  <c r="CU274" i="25"/>
  <c r="I274" i="25"/>
  <c r="BX274" i="25"/>
  <c r="DI268" i="24"/>
  <c r="DJ268" i="24"/>
  <c r="DJ272" i="29"/>
  <c r="DI272" i="29"/>
  <c r="I265" i="20"/>
  <c r="CU265" i="20"/>
  <c r="BX265" i="20"/>
  <c r="DI269" i="21"/>
  <c r="DJ269" i="21"/>
  <c r="DJ293" i="22"/>
  <c r="DI293" i="22"/>
  <c r="DI280" i="20"/>
  <c r="DJ280" i="20"/>
  <c r="DI265" i="24"/>
  <c r="DJ265" i="24"/>
  <c r="DJ267" i="25"/>
  <c r="DI267" i="25"/>
  <c r="DI285" i="26"/>
  <c r="DJ285" i="26"/>
  <c r="DI272" i="22"/>
  <c r="DJ272" i="22"/>
  <c r="DJ265" i="28"/>
  <c r="DI265" i="28"/>
  <c r="CU292" i="28"/>
  <c r="I292" i="28"/>
  <c r="BX292" i="28"/>
  <c r="DJ284" i="21"/>
  <c r="DI284" i="21"/>
  <c r="DJ272" i="25"/>
  <c r="DI272" i="25"/>
  <c r="DI287" i="22"/>
  <c r="DJ287" i="22"/>
  <c r="I289" i="21"/>
  <c r="CU289" i="21"/>
  <c r="BX289" i="21"/>
  <c r="BX294" i="19"/>
  <c r="I294" i="19"/>
  <c r="CU294" i="19"/>
  <c r="DI279" i="23"/>
  <c r="DJ279" i="23"/>
  <c r="A34" i="20"/>
  <c r="E34" i="20"/>
  <c r="F34" i="20"/>
  <c r="DI273" i="20"/>
  <c r="DJ273" i="20"/>
  <c r="DI276" i="27"/>
  <c r="DJ276" i="27"/>
  <c r="DI294" i="27"/>
  <c r="DJ294" i="27"/>
  <c r="BX292" i="29"/>
  <c r="CU292" i="29"/>
  <c r="I292" i="29"/>
  <c r="I280" i="19"/>
  <c r="CU280" i="19"/>
  <c r="BX280" i="19"/>
  <c r="DB292" i="3"/>
  <c r="DJ292" i="3"/>
  <c r="DA292" i="3"/>
  <c r="DD292" i="3"/>
  <c r="DI292" i="3"/>
  <c r="CU276" i="20"/>
  <c r="I276" i="20"/>
  <c r="BX276" i="20"/>
  <c r="BZ264" i="29"/>
  <c r="H295" i="29"/>
  <c r="F304" i="29" s="1"/>
  <c r="E34" i="26"/>
  <c r="F34" i="26"/>
  <c r="A34" i="26"/>
  <c r="DJ271" i="28"/>
  <c r="DI271" i="28"/>
  <c r="DI265" i="29"/>
  <c r="DJ265" i="29"/>
  <c r="CU268" i="20"/>
  <c r="I268" i="20"/>
  <c r="BX268" i="20"/>
  <c r="CU283" i="19"/>
  <c r="BX283" i="19"/>
  <c r="I283" i="19"/>
  <c r="CU290" i="23"/>
  <c r="BX290" i="23"/>
  <c r="I290" i="23"/>
  <c r="BZ264" i="25"/>
  <c r="H295" i="25"/>
  <c r="F304" i="25" s="1"/>
  <c r="DJ290" i="27"/>
  <c r="DI290" i="27"/>
  <c r="DI287" i="21"/>
  <c r="DJ287" i="21"/>
  <c r="BX278" i="24"/>
  <c r="I278" i="24"/>
  <c r="CU278" i="24"/>
  <c r="DI265" i="19"/>
  <c r="DJ265" i="19"/>
  <c r="DJ273" i="24"/>
  <c r="DI273" i="24"/>
  <c r="DI269" i="24"/>
  <c r="DJ269" i="24"/>
  <c r="BZ264" i="24"/>
  <c r="H295" i="24"/>
  <c r="F304" i="24" s="1"/>
  <c r="DI283" i="28"/>
  <c r="DJ283" i="28"/>
  <c r="BX277" i="21"/>
  <c r="I277" i="21"/>
  <c r="CU277" i="21"/>
  <c r="I278" i="28"/>
  <c r="CU278" i="28"/>
  <c r="BX278" i="28"/>
  <c r="G264" i="25"/>
  <c r="DJ288" i="22"/>
  <c r="DI288" i="22"/>
  <c r="DJ277" i="27"/>
  <c r="DI277" i="27"/>
  <c r="CU271" i="27"/>
  <c r="I271" i="27"/>
  <c r="BX271" i="27"/>
  <c r="DI270" i="26"/>
  <c r="DJ270" i="26"/>
  <c r="DJ276" i="29"/>
  <c r="DI276" i="29"/>
  <c r="CU281" i="28"/>
  <c r="I281" i="28"/>
  <c r="BX281" i="28"/>
  <c r="DJ285" i="29"/>
  <c r="DI285" i="29"/>
  <c r="CU284" i="27"/>
  <c r="BX284" i="27"/>
  <c r="I284" i="27"/>
  <c r="BX282" i="27"/>
  <c r="I282" i="27"/>
  <c r="CU282" i="27"/>
  <c r="DI291" i="25"/>
  <c r="DJ291" i="25"/>
  <c r="DB293" i="3"/>
  <c r="DJ293" i="3"/>
  <c r="DD293" i="3"/>
  <c r="DI293" i="3"/>
  <c r="DA293" i="3"/>
  <c r="DJ280" i="28"/>
  <c r="DI280" i="28"/>
  <c r="DI277" i="20"/>
  <c r="DJ277" i="20"/>
  <c r="DI285" i="22"/>
  <c r="DJ285" i="22"/>
  <c r="DI276" i="26"/>
  <c r="DJ276" i="26"/>
  <c r="H264" i="22"/>
  <c r="DI285" i="25"/>
  <c r="DJ285" i="25"/>
  <c r="DI268" i="26"/>
  <c r="DJ268" i="26"/>
  <c r="BX275" i="26"/>
  <c r="I275" i="26"/>
  <c r="CU275" i="26"/>
  <c r="I281" i="25"/>
  <c r="BX281" i="25"/>
  <c r="CU281" i="25"/>
  <c r="CU293" i="19"/>
  <c r="BX293" i="19"/>
  <c r="I293" i="19"/>
  <c r="BX282" i="22"/>
  <c r="I282" i="22"/>
  <c r="CU282" i="22"/>
  <c r="I276" i="21"/>
  <c r="BX276" i="21"/>
  <c r="CU276" i="21"/>
  <c r="DJ274" i="22"/>
  <c r="DI274" i="22"/>
  <c r="DI286" i="29"/>
  <c r="DJ286" i="29"/>
  <c r="DJ266" i="26"/>
  <c r="DI266" i="26"/>
  <c r="DJ287" i="19"/>
  <c r="DI287" i="19"/>
  <c r="CU290" i="25"/>
  <c r="BX290" i="25"/>
  <c r="I290" i="25"/>
  <c r="DI281" i="24"/>
  <c r="DJ281" i="24"/>
  <c r="DJ287" i="24"/>
  <c r="DI287" i="24"/>
  <c r="DJ293" i="21"/>
  <c r="DI293" i="21"/>
  <c r="BX278" i="25"/>
  <c r="I278" i="25"/>
  <c r="CU278" i="25"/>
  <c r="I266" i="19"/>
  <c r="CU266" i="19"/>
  <c r="BX266" i="19"/>
  <c r="I275" i="28"/>
  <c r="CU275" i="28"/>
  <c r="BX275" i="28"/>
  <c r="I277" i="19"/>
  <c r="BX277" i="19"/>
  <c r="CU277" i="19"/>
  <c r="DI278" i="19"/>
  <c r="DJ278" i="19"/>
  <c r="I275" i="29"/>
  <c r="CU275" i="29"/>
  <c r="BX275" i="29"/>
  <c r="DI272" i="27" l="1"/>
  <c r="DI291" i="20"/>
  <c r="DI267" i="28"/>
  <c r="DI289" i="28"/>
  <c r="DI287" i="27"/>
  <c r="DJ287" i="25"/>
  <c r="DI268" i="19"/>
  <c r="DI285" i="24"/>
  <c r="DI281" i="21"/>
  <c r="DJ272" i="26"/>
  <c r="DI283" i="22"/>
  <c r="DI284" i="25"/>
  <c r="DJ270" i="20"/>
  <c r="DI292" i="21"/>
  <c r="DI284" i="23"/>
  <c r="DI290" i="21"/>
  <c r="DJ288" i="3"/>
  <c r="DD288" i="3"/>
  <c r="DI282" i="24"/>
  <c r="DJ266" i="24"/>
  <c r="DI280" i="3"/>
  <c r="DI288" i="3"/>
  <c r="DA280" i="3"/>
  <c r="DB280" i="3"/>
  <c r="DI268" i="22"/>
  <c r="DJ278" i="20"/>
  <c r="DB288" i="3"/>
  <c r="DD280" i="3"/>
  <c r="H265" i="3"/>
  <c r="BZ265" i="3" s="1"/>
  <c r="G265" i="3"/>
  <c r="DB294" i="3"/>
  <c r="DJ271" i="24"/>
  <c r="DD294" i="3"/>
  <c r="DI281" i="19"/>
  <c r="DA294" i="3"/>
  <c r="DI271" i="20"/>
  <c r="DJ294" i="3"/>
  <c r="DJ270" i="24"/>
  <c r="DJ291" i="28"/>
  <c r="DJ287" i="29"/>
  <c r="DI272" i="24"/>
  <c r="DI279" i="28"/>
  <c r="DI276" i="23"/>
  <c r="DI269" i="26"/>
  <c r="CW264" i="3"/>
  <c r="BY264" i="3"/>
  <c r="CC264" i="3"/>
  <c r="DJ288" i="25"/>
  <c r="CE264" i="3"/>
  <c r="DJ267" i="20"/>
  <c r="DJ291" i="22"/>
  <c r="DI277" i="22"/>
  <c r="DJ274" i="24"/>
  <c r="DJ273" i="19"/>
  <c r="DI276" i="22"/>
  <c r="CD264" i="3"/>
  <c r="CH264" i="3"/>
  <c r="DI281" i="29"/>
  <c r="CS264" i="3"/>
  <c r="CT264" i="3"/>
  <c r="I264" i="3" s="1"/>
  <c r="DJ264" i="3" s="1"/>
  <c r="BX264" i="3"/>
  <c r="CI264" i="3"/>
  <c r="CU264" i="3"/>
  <c r="DI286" i="21"/>
  <c r="DI293" i="28"/>
  <c r="DJ281" i="22"/>
  <c r="DJ270" i="28"/>
  <c r="DI274" i="19"/>
  <c r="DJ288" i="28"/>
  <c r="DJ267" i="27"/>
  <c r="DJ289" i="22"/>
  <c r="DJ283" i="27"/>
  <c r="DJ288" i="27"/>
  <c r="DI285" i="20"/>
  <c r="DI279" i="25"/>
  <c r="DJ288" i="26"/>
  <c r="DI270" i="22"/>
  <c r="DJ266" i="22"/>
  <c r="DI268" i="27"/>
  <c r="DI274" i="29"/>
  <c r="DI266" i="21"/>
  <c r="DI277" i="23"/>
  <c r="DJ285" i="27"/>
  <c r="DI273" i="25"/>
  <c r="DI266" i="27"/>
  <c r="CU264" i="21"/>
  <c r="DI280" i="22"/>
  <c r="DJ294" i="24"/>
  <c r="I264" i="21"/>
  <c r="DI264" i="21" s="1"/>
  <c r="DI273" i="21"/>
  <c r="DJ277" i="29"/>
  <c r="BX264" i="21"/>
  <c r="CJ264" i="3"/>
  <c r="BZ264" i="28"/>
  <c r="DJ281" i="26"/>
  <c r="DI281" i="26"/>
  <c r="DI277" i="26"/>
  <c r="DJ277" i="26"/>
  <c r="DI280" i="29"/>
  <c r="DJ280" i="29"/>
  <c r="DI266" i="28"/>
  <c r="DJ266" i="28"/>
  <c r="DI287" i="20"/>
  <c r="DJ287" i="20"/>
  <c r="DI294" i="20"/>
  <c r="DJ294" i="20"/>
  <c r="DJ282" i="25"/>
  <c r="DI282" i="25"/>
  <c r="DI283" i="21"/>
  <c r="DJ283" i="21"/>
  <c r="DJ278" i="29"/>
  <c r="DI278" i="29"/>
  <c r="CU264" i="19"/>
  <c r="BX264" i="19"/>
  <c r="I264" i="19"/>
  <c r="G295" i="19"/>
  <c r="DI276" i="21"/>
  <c r="DJ276" i="21"/>
  <c r="DJ278" i="28"/>
  <c r="DI278" i="28"/>
  <c r="DI276" i="20"/>
  <c r="DJ276" i="20"/>
  <c r="DJ290" i="24"/>
  <c r="DI290" i="24"/>
  <c r="DI288" i="24"/>
  <c r="DJ288" i="24"/>
  <c r="BZ264" i="27"/>
  <c r="H295" i="27"/>
  <c r="F304" i="27" s="1"/>
  <c r="I264" i="26"/>
  <c r="G295" i="26"/>
  <c r="CU264" i="26"/>
  <c r="BX264" i="26"/>
  <c r="DI275" i="21"/>
  <c r="DJ275" i="21"/>
  <c r="DI289" i="20"/>
  <c r="DJ289" i="20"/>
  <c r="DJ266" i="29"/>
  <c r="DI266" i="29"/>
  <c r="DI265" i="22"/>
  <c r="DJ265" i="22"/>
  <c r="BM266" i="3"/>
  <c r="AV267" i="3"/>
  <c r="DJ275" i="19"/>
  <c r="DI275" i="19"/>
  <c r="DJ265" i="25"/>
  <c r="DI265" i="25"/>
  <c r="DI278" i="25"/>
  <c r="DJ278" i="25"/>
  <c r="DJ280" i="19"/>
  <c r="DI280" i="19"/>
  <c r="DJ289" i="21"/>
  <c r="DI289" i="21"/>
  <c r="DI274" i="25"/>
  <c r="DJ274" i="25"/>
  <c r="DI267" i="29"/>
  <c r="DJ267" i="29"/>
  <c r="DJ294" i="23"/>
  <c r="DI294" i="23"/>
  <c r="G295" i="29"/>
  <c r="CU264" i="29"/>
  <c r="I264" i="29"/>
  <c r="BX264" i="29"/>
  <c r="DI272" i="28"/>
  <c r="DJ272" i="28"/>
  <c r="DI286" i="20"/>
  <c r="DJ286" i="20"/>
  <c r="DJ294" i="22"/>
  <c r="DI294" i="22"/>
  <c r="DI274" i="26"/>
  <c r="DJ274" i="26"/>
  <c r="BZ264" i="20"/>
  <c r="H295" i="20"/>
  <c r="F304" i="20" s="1"/>
  <c r="DI269" i="27"/>
  <c r="DJ269" i="27"/>
  <c r="DI285" i="3"/>
  <c r="DD285" i="3"/>
  <c r="DB285" i="3"/>
  <c r="DA285" i="3"/>
  <c r="DJ285" i="3"/>
  <c r="DJ282" i="29"/>
  <c r="DI282" i="29"/>
  <c r="DI275" i="28"/>
  <c r="DJ275" i="28"/>
  <c r="DI282" i="22"/>
  <c r="DJ282" i="22"/>
  <c r="DJ277" i="21"/>
  <c r="DI277" i="21"/>
  <c r="DJ268" i="20"/>
  <c r="DI268" i="20"/>
  <c r="DJ292" i="29"/>
  <c r="DI292" i="29"/>
  <c r="DD284" i="3"/>
  <c r="DI284" i="3"/>
  <c r="DB284" i="3"/>
  <c r="DJ284" i="3"/>
  <c r="DA284" i="3"/>
  <c r="DJ291" i="19"/>
  <c r="DI291" i="19"/>
  <c r="DI285" i="21"/>
  <c r="DJ285" i="21"/>
  <c r="DI284" i="24"/>
  <c r="DJ284" i="24"/>
  <c r="DI284" i="26"/>
  <c r="DJ284" i="26"/>
  <c r="DI292" i="27"/>
  <c r="DJ292" i="27"/>
  <c r="DI276" i="24"/>
  <c r="DJ276" i="24"/>
  <c r="DJ286" i="22"/>
  <c r="DI286" i="22"/>
  <c r="DI264" i="20"/>
  <c r="I295" i="20"/>
  <c r="DJ264" i="20"/>
  <c r="DJ289" i="23"/>
  <c r="DI289" i="23"/>
  <c r="DI292" i="25"/>
  <c r="DJ292" i="25"/>
  <c r="DI283" i="29"/>
  <c r="DJ283" i="29"/>
  <c r="DJ269" i="29"/>
  <c r="DI269" i="29"/>
  <c r="DJ269" i="19"/>
  <c r="DI269" i="19"/>
  <c r="I31" i="22"/>
  <c r="F303" i="22"/>
  <c r="DI286" i="23"/>
  <c r="DJ286" i="23"/>
  <c r="DI292" i="24"/>
  <c r="DJ292" i="24"/>
  <c r="I31" i="28"/>
  <c r="F303" i="28"/>
  <c r="DJ290" i="25"/>
  <c r="DI290" i="25"/>
  <c r="DJ278" i="24"/>
  <c r="DI278" i="24"/>
  <c r="DI290" i="23"/>
  <c r="DJ290" i="23"/>
  <c r="DJ265" i="20"/>
  <c r="DI265" i="20"/>
  <c r="I264" i="24"/>
  <c r="CU264" i="24"/>
  <c r="BX264" i="24"/>
  <c r="G295" i="24"/>
  <c r="DI283" i="25"/>
  <c r="DJ283" i="25"/>
  <c r="F303" i="20"/>
  <c r="I31" i="20"/>
  <c r="BE267" i="3"/>
  <c r="BO266" i="3"/>
  <c r="DJ279" i="19"/>
  <c r="DI279" i="19"/>
  <c r="DJ269" i="28"/>
  <c r="DI269" i="28"/>
  <c r="DI264" i="28"/>
  <c r="DJ264" i="28"/>
  <c r="I295" i="28"/>
  <c r="DJ277" i="19"/>
  <c r="DI277" i="19"/>
  <c r="DJ293" i="19"/>
  <c r="DI293" i="19"/>
  <c r="DJ275" i="29"/>
  <c r="DI275" i="29"/>
  <c r="DI281" i="25"/>
  <c r="DJ281" i="25"/>
  <c r="H295" i="22"/>
  <c r="F304" i="22" s="1"/>
  <c r="BZ264" i="22"/>
  <c r="DI282" i="27"/>
  <c r="DJ282" i="27"/>
  <c r="DJ281" i="28"/>
  <c r="DI281" i="28"/>
  <c r="DI287" i="28"/>
  <c r="DJ287" i="28"/>
  <c r="DJ291" i="23"/>
  <c r="DI291" i="23"/>
  <c r="F303" i="27"/>
  <c r="I31" i="27"/>
  <c r="DJ266" i="20"/>
  <c r="DI266" i="20"/>
  <c r="DJ279" i="26"/>
  <c r="DI279" i="26"/>
  <c r="DJ290" i="28"/>
  <c r="DI290" i="28"/>
  <c r="I31" i="21"/>
  <c r="F303" i="21"/>
  <c r="DJ264" i="22"/>
  <c r="DI264" i="22"/>
  <c r="I295" i="22"/>
  <c r="DB291" i="3"/>
  <c r="DA291" i="3"/>
  <c r="DD291" i="3"/>
  <c r="DJ291" i="3"/>
  <c r="DI291" i="3"/>
  <c r="DI275" i="20"/>
  <c r="DJ275" i="20"/>
  <c r="DI266" i="19"/>
  <c r="DJ266" i="19"/>
  <c r="DJ271" i="27"/>
  <c r="DI271" i="27"/>
  <c r="I264" i="25"/>
  <c r="G295" i="25"/>
  <c r="CU264" i="25"/>
  <c r="BX264" i="25"/>
  <c r="DJ294" i="19"/>
  <c r="DI294" i="19"/>
  <c r="DI292" i="28"/>
  <c r="DJ292" i="28"/>
  <c r="AT264" i="19"/>
  <c r="AT265" i="19" s="1"/>
  <c r="AT266" i="19" s="1"/>
  <c r="AT267" i="19" s="1"/>
  <c r="AT268" i="19" s="1"/>
  <c r="AT269" i="19" s="1"/>
  <c r="AT270" i="19" s="1"/>
  <c r="AT271" i="19" s="1"/>
  <c r="AT272" i="19" s="1"/>
  <c r="AT273" i="19" s="1"/>
  <c r="AT274" i="19" s="1"/>
  <c r="AT275" i="19" s="1"/>
  <c r="AT276" i="19" s="1"/>
  <c r="AT277" i="19" s="1"/>
  <c r="AT278" i="19" s="1"/>
  <c r="AT279" i="19" s="1"/>
  <c r="AT280" i="19" s="1"/>
  <c r="AT281" i="19" s="1"/>
  <c r="AT282" i="19" s="1"/>
  <c r="AT283" i="19" s="1"/>
  <c r="AT284" i="19" s="1"/>
  <c r="AT285" i="19" s="1"/>
  <c r="AT286" i="19" s="1"/>
  <c r="AT287" i="19" s="1"/>
  <c r="AT288" i="19" s="1"/>
  <c r="AT289" i="19" s="1"/>
  <c r="AT290" i="19" s="1"/>
  <c r="AT291" i="19" s="1"/>
  <c r="AT292" i="19" s="1"/>
  <c r="AT293" i="19" s="1"/>
  <c r="AT294" i="19" s="1"/>
  <c r="I202" i="19"/>
  <c r="DI292" i="19"/>
  <c r="DJ292" i="19"/>
  <c r="DJ289" i="19"/>
  <c r="DI289" i="19"/>
  <c r="DI290" i="29"/>
  <c r="DJ290" i="29"/>
  <c r="DJ269" i="20"/>
  <c r="DI269" i="20"/>
  <c r="DI271" i="19"/>
  <c r="DJ271" i="19"/>
  <c r="DI292" i="23"/>
  <c r="DJ292" i="23"/>
  <c r="DJ268" i="25"/>
  <c r="DI268" i="25"/>
  <c r="DJ269" i="25"/>
  <c r="DI269" i="25"/>
  <c r="DJ293" i="26"/>
  <c r="DI293" i="26"/>
  <c r="DJ273" i="27"/>
  <c r="DI273" i="27"/>
  <c r="DJ291" i="21"/>
  <c r="DI291" i="21"/>
  <c r="DJ285" i="19"/>
  <c r="DI285" i="19"/>
  <c r="DI292" i="22"/>
  <c r="DJ292" i="22"/>
  <c r="BX272" i="19"/>
  <c r="I272" i="19"/>
  <c r="CU272" i="19"/>
  <c r="DI269" i="22"/>
  <c r="DJ269" i="22"/>
  <c r="DI275" i="26"/>
  <c r="DJ275" i="26"/>
  <c r="DI284" i="27"/>
  <c r="DJ284" i="27"/>
  <c r="DI283" i="19"/>
  <c r="DJ283" i="19"/>
  <c r="DI282" i="19"/>
  <c r="DJ282" i="19"/>
  <c r="BN266" i="3"/>
  <c r="BS266" i="3"/>
  <c r="BQ266" i="3"/>
  <c r="BB267" i="3"/>
  <c r="DJ264" i="27"/>
  <c r="DI264" i="27"/>
  <c r="I295" i="27"/>
  <c r="DJ287" i="23"/>
  <c r="DI287" i="23"/>
  <c r="DI288" i="21"/>
  <c r="DJ288" i="21"/>
  <c r="DI270" i="19"/>
  <c r="DJ270" i="19"/>
  <c r="DI290" i="22"/>
  <c r="DJ290" i="22"/>
  <c r="DI292" i="26"/>
  <c r="DJ292" i="26"/>
  <c r="G266" i="3" l="1"/>
  <c r="H266" i="3"/>
  <c r="BZ266" i="3" s="1"/>
  <c r="CC265" i="3"/>
  <c r="CW265" i="3"/>
  <c r="CE265" i="3"/>
  <c r="CD265" i="3"/>
  <c r="BX265" i="3"/>
  <c r="CS265" i="3"/>
  <c r="CY265" i="3"/>
  <c r="CH265" i="3"/>
  <c r="CT265" i="3"/>
  <c r="I265" i="3" s="1"/>
  <c r="CI265" i="3"/>
  <c r="CJ265" i="3" s="1"/>
  <c r="CU265" i="3"/>
  <c r="BY265" i="3"/>
  <c r="CA264" i="3"/>
  <c r="CF264" i="3"/>
  <c r="DK264" i="3"/>
  <c r="DN264" i="3" s="1"/>
  <c r="DC264" i="3"/>
  <c r="DA264" i="3"/>
  <c r="DI264" i="3"/>
  <c r="DB264" i="3"/>
  <c r="DD264" i="3"/>
  <c r="CM264" i="3"/>
  <c r="CL264" i="3"/>
  <c r="DJ264" i="21"/>
  <c r="I295" i="21"/>
  <c r="CK264" i="3"/>
  <c r="CJ266" i="3"/>
  <c r="DI295" i="27"/>
  <c r="I152" i="27" s="1"/>
  <c r="DI295" i="28"/>
  <c r="I152" i="28" s="1"/>
  <c r="DJ272" i="19"/>
  <c r="DI272" i="19"/>
  <c r="DI295" i="20"/>
  <c r="I152" i="20" s="1"/>
  <c r="I31" i="29"/>
  <c r="F303" i="29"/>
  <c r="DJ264" i="26"/>
  <c r="DI264" i="26"/>
  <c r="DI295" i="26" s="1"/>
  <c r="I152" i="26" s="1"/>
  <c r="I295" i="26"/>
  <c r="DJ264" i="19"/>
  <c r="I295" i="19"/>
  <c r="DI264" i="19"/>
  <c r="BS267" i="3"/>
  <c r="BB268" i="3"/>
  <c r="BN267" i="3"/>
  <c r="BQ267" i="3"/>
  <c r="DI295" i="21"/>
  <c r="I152" i="21" s="1"/>
  <c r="BE268" i="3"/>
  <c r="BO267" i="3"/>
  <c r="DI264" i="24"/>
  <c r="DI295" i="24" s="1"/>
  <c r="I152" i="24" s="1"/>
  <c r="I295" i="24"/>
  <c r="DJ264" i="24"/>
  <c r="F303" i="25"/>
  <c r="I31" i="25"/>
  <c r="BM267" i="3"/>
  <c r="AV268" i="3"/>
  <c r="AT295" i="19"/>
  <c r="G380" i="19"/>
  <c r="DI264" i="25"/>
  <c r="DI295" i="25" s="1"/>
  <c r="I152" i="25" s="1"/>
  <c r="DJ264" i="25"/>
  <c r="I295" i="25"/>
  <c r="DI295" i="22"/>
  <c r="I152" i="22" s="1"/>
  <c r="I295" i="29"/>
  <c r="DI264" i="29"/>
  <c r="DI295" i="29" s="1"/>
  <c r="I152" i="29" s="1"/>
  <c r="DJ264" i="29"/>
  <c r="I31" i="24"/>
  <c r="F303" i="24"/>
  <c r="F303" i="26"/>
  <c r="I31" i="26"/>
  <c r="F303" i="19"/>
  <c r="I31" i="19"/>
  <c r="CA265" i="3" l="1"/>
  <c r="DD265" i="3"/>
  <c r="DA265" i="3"/>
  <c r="DB265" i="3"/>
  <c r="DK265" i="3"/>
  <c r="DI265" i="3"/>
  <c r="DJ265" i="3"/>
  <c r="DC265" i="3"/>
  <c r="CF265" i="3"/>
  <c r="H267" i="3"/>
  <c r="BZ267" i="3" s="1"/>
  <c r="G267" i="3"/>
  <c r="CL265" i="3"/>
  <c r="CK265" i="3"/>
  <c r="CM265" i="3"/>
  <c r="CC266" i="3"/>
  <c r="CU266" i="3"/>
  <c r="CT266" i="3"/>
  <c r="I266" i="3" s="1"/>
  <c r="CW266" i="3"/>
  <c r="CY266" i="3"/>
  <c r="CD266" i="3"/>
  <c r="CI266" i="3"/>
  <c r="CE266" i="3"/>
  <c r="BX266" i="3"/>
  <c r="CS266" i="3"/>
  <c r="CH266" i="3"/>
  <c r="BY266" i="3"/>
  <c r="DG264" i="3"/>
  <c r="DF264" i="3"/>
  <c r="DE264" i="3"/>
  <c r="DO264" i="3"/>
  <c r="DM264" i="3"/>
  <c r="DI295" i="19"/>
  <c r="I152" i="19" s="1"/>
  <c r="CJ267" i="3"/>
  <c r="I211" i="19"/>
  <c r="I155" i="19" s="1"/>
  <c r="AT263" i="20"/>
  <c r="A449" i="19"/>
  <c r="BM268" i="3"/>
  <c r="AV269" i="3"/>
  <c r="BE269" i="3"/>
  <c r="BO268" i="3"/>
  <c r="BQ268" i="3"/>
  <c r="BB269" i="3"/>
  <c r="BS268" i="3"/>
  <c r="BN268" i="3"/>
  <c r="H269" i="3"/>
  <c r="BZ269" i="3" s="1"/>
  <c r="G269" i="3"/>
  <c r="CA266" i="3" l="1"/>
  <c r="DN265" i="3"/>
  <c r="CM266" i="3"/>
  <c r="CL266" i="3"/>
  <c r="CK266" i="3"/>
  <c r="CF266" i="3"/>
  <c r="DM265" i="3"/>
  <c r="G268" i="3"/>
  <c r="H268" i="3"/>
  <c r="BZ268" i="3" s="1"/>
  <c r="DG265" i="3"/>
  <c r="DE265" i="3"/>
  <c r="DO265" i="3"/>
  <c r="DF265" i="3"/>
  <c r="BY267" i="3"/>
  <c r="CE267" i="3"/>
  <c r="CW267" i="3"/>
  <c r="CH267" i="3"/>
  <c r="CY267" i="3"/>
  <c r="CT267" i="3"/>
  <c r="I267" i="3" s="1"/>
  <c r="CD267" i="3"/>
  <c r="CC267" i="3"/>
  <c r="CU267" i="3"/>
  <c r="CS267" i="3"/>
  <c r="BX267" i="3"/>
  <c r="CI267" i="3"/>
  <c r="CM267" i="3" s="1"/>
  <c r="DI266" i="3"/>
  <c r="DC266" i="3"/>
  <c r="DD266" i="3"/>
  <c r="DK266" i="3"/>
  <c r="DA266" i="3"/>
  <c r="DJ266" i="3"/>
  <c r="DB266" i="3"/>
  <c r="CJ268" i="3"/>
  <c r="BE270" i="3"/>
  <c r="BO269" i="3"/>
  <c r="AV270" i="3"/>
  <c r="BM269" i="3"/>
  <c r="AT264" i="20"/>
  <c r="AT265" i="20" s="1"/>
  <c r="AT266" i="20" s="1"/>
  <c r="AT267" i="20" s="1"/>
  <c r="AT268" i="20" s="1"/>
  <c r="AT269" i="20" s="1"/>
  <c r="AT270" i="20" s="1"/>
  <c r="AT271" i="20" s="1"/>
  <c r="AT272" i="20" s="1"/>
  <c r="AT273" i="20" s="1"/>
  <c r="AT274" i="20" s="1"/>
  <c r="AT275" i="20" s="1"/>
  <c r="AT276" i="20" s="1"/>
  <c r="AT277" i="20" s="1"/>
  <c r="AT278" i="20" s="1"/>
  <c r="AT279" i="20" s="1"/>
  <c r="AT280" i="20" s="1"/>
  <c r="AT281" i="20" s="1"/>
  <c r="AT282" i="20" s="1"/>
  <c r="AT283" i="20" s="1"/>
  <c r="AT284" i="20" s="1"/>
  <c r="AT285" i="20" s="1"/>
  <c r="AT286" i="20" s="1"/>
  <c r="AT287" i="20" s="1"/>
  <c r="AT288" i="20" s="1"/>
  <c r="AT289" i="20" s="1"/>
  <c r="AT290" i="20" s="1"/>
  <c r="AT291" i="20" s="1"/>
  <c r="AT292" i="20" s="1"/>
  <c r="AT293" i="20" s="1"/>
  <c r="AT294" i="20" s="1"/>
  <c r="I202" i="20"/>
  <c r="BB270" i="3"/>
  <c r="BQ269" i="3"/>
  <c r="BS269" i="3"/>
  <c r="BN269" i="3"/>
  <c r="H270" i="3"/>
  <c r="BZ270" i="3" s="1"/>
  <c r="G270" i="3"/>
  <c r="BX269" i="3"/>
  <c r="CU269" i="3"/>
  <c r="CE269" i="3"/>
  <c r="CC269" i="3"/>
  <c r="CH269" i="3"/>
  <c r="CJ269" i="3" s="1"/>
  <c r="CD269" i="3"/>
  <c r="CS269" i="3"/>
  <c r="CY269" i="3"/>
  <c r="CT269" i="3"/>
  <c r="I269" i="3" s="1"/>
  <c r="BY269" i="3"/>
  <c r="CW269" i="3"/>
  <c r="CI269" i="3"/>
  <c r="G274" i="3"/>
  <c r="H274" i="3"/>
  <c r="BZ274" i="3" s="1"/>
  <c r="CA267" i="3" l="1"/>
  <c r="DN266" i="3"/>
  <c r="CK267" i="3"/>
  <c r="CL267" i="3"/>
  <c r="DM266" i="3"/>
  <c r="CF267" i="3"/>
  <c r="DA267" i="3"/>
  <c r="DD267" i="3"/>
  <c r="DJ267" i="3"/>
  <c r="DI267" i="3"/>
  <c r="DC267" i="3"/>
  <c r="DB267" i="3"/>
  <c r="DK267" i="3"/>
  <c r="DF266" i="3"/>
  <c r="DG266" i="3"/>
  <c r="DE266" i="3"/>
  <c r="DO266" i="3"/>
  <c r="BX268" i="3"/>
  <c r="CE268" i="3"/>
  <c r="CT268" i="3"/>
  <c r="I268" i="3" s="1"/>
  <c r="CH268" i="3"/>
  <c r="CS268" i="3"/>
  <c r="CU268" i="3"/>
  <c r="CW268" i="3"/>
  <c r="CD268" i="3"/>
  <c r="CY268" i="3"/>
  <c r="BY268" i="3"/>
  <c r="CI268" i="3"/>
  <c r="CC268" i="3"/>
  <c r="BQ270" i="3"/>
  <c r="BN270" i="3"/>
  <c r="BS270" i="3"/>
  <c r="BB271" i="3"/>
  <c r="AT295" i="20"/>
  <c r="G380" i="20"/>
  <c r="BM270" i="3"/>
  <c r="AV271" i="3"/>
  <c r="BE271" i="3"/>
  <c r="BO270" i="3"/>
  <c r="CM269" i="3"/>
  <c r="CK269" i="3"/>
  <c r="CL269" i="3"/>
  <c r="H271" i="3"/>
  <c r="BZ271" i="3" s="1"/>
  <c r="G271" i="3"/>
  <c r="CA269" i="3"/>
  <c r="DC269" i="3"/>
  <c r="DD269" i="3"/>
  <c r="DA269" i="3"/>
  <c r="DI269" i="3"/>
  <c r="DK269" i="3"/>
  <c r="DB269" i="3"/>
  <c r="DJ269" i="3"/>
  <c r="CH270" i="3"/>
  <c r="CU270" i="3"/>
  <c r="CE270" i="3"/>
  <c r="CC270" i="3"/>
  <c r="BX270" i="3"/>
  <c r="CW270" i="3"/>
  <c r="CD270" i="3"/>
  <c r="CS270" i="3"/>
  <c r="BY270" i="3"/>
  <c r="CT270" i="3"/>
  <c r="I270" i="3" s="1"/>
  <c r="CY270" i="3"/>
  <c r="CI270" i="3"/>
  <c r="CF269" i="3"/>
  <c r="G275" i="3"/>
  <c r="H275" i="3"/>
  <c r="BZ275" i="3" s="1"/>
  <c r="CE274" i="3"/>
  <c r="CH274" i="3"/>
  <c r="CC274" i="3"/>
  <c r="BX274" i="3"/>
  <c r="CU274" i="3"/>
  <c r="CL268" i="3" l="1"/>
  <c r="CK268" i="3"/>
  <c r="DM267" i="3"/>
  <c r="DN267" i="3"/>
  <c r="DI268" i="3"/>
  <c r="DK268" i="3"/>
  <c r="DD268" i="3"/>
  <c r="DB268" i="3"/>
  <c r="DA268" i="3"/>
  <c r="DJ268" i="3"/>
  <c r="DC268" i="3"/>
  <c r="DF267" i="3"/>
  <c r="DE267" i="3"/>
  <c r="DG267" i="3"/>
  <c r="DO267" i="3"/>
  <c r="CA268" i="3"/>
  <c r="CM268" i="3"/>
  <c r="CF268" i="3"/>
  <c r="CJ270" i="3"/>
  <c r="CM270" i="3" s="1"/>
  <c r="AV272" i="3"/>
  <c r="BM271" i="3"/>
  <c r="I211" i="20"/>
  <c r="I155" i="20" s="1"/>
  <c r="AT263" i="21"/>
  <c r="A449" i="20"/>
  <c r="BN271" i="3"/>
  <c r="BQ271" i="3"/>
  <c r="BS271" i="3"/>
  <c r="BB272" i="3"/>
  <c r="BE272" i="3"/>
  <c r="BO271" i="3"/>
  <c r="DM269" i="3"/>
  <c r="CA270" i="3"/>
  <c r="DN269" i="3"/>
  <c r="CF270" i="3"/>
  <c r="G272" i="3"/>
  <c r="H272" i="3"/>
  <c r="BZ272" i="3" s="1"/>
  <c r="DK270" i="3"/>
  <c r="DI270" i="3"/>
  <c r="DD270" i="3"/>
  <c r="DA270" i="3"/>
  <c r="DJ270" i="3"/>
  <c r="DC270" i="3"/>
  <c r="DB270" i="3"/>
  <c r="DO269" i="3"/>
  <c r="DG269" i="3"/>
  <c r="DE269" i="3"/>
  <c r="DF269" i="3"/>
  <c r="CU271" i="3"/>
  <c r="CE271" i="3"/>
  <c r="BX271" i="3"/>
  <c r="CH271" i="3"/>
  <c r="CJ271" i="3" s="1"/>
  <c r="CC271" i="3"/>
  <c r="CS271" i="3"/>
  <c r="CT271" i="3"/>
  <c r="I271" i="3" s="1"/>
  <c r="CD271" i="3"/>
  <c r="CY271" i="3"/>
  <c r="CW271" i="3"/>
  <c r="CI271" i="3"/>
  <c r="BY271" i="3"/>
  <c r="CE275" i="3"/>
  <c r="CC275" i="3"/>
  <c r="BX275" i="3"/>
  <c r="CU275" i="3"/>
  <c r="CH275" i="3"/>
  <c r="G276" i="3"/>
  <c r="H276" i="3"/>
  <c r="BZ276" i="3" s="1"/>
  <c r="CK270" i="3" l="1"/>
  <c r="DN268" i="3"/>
  <c r="DE268" i="3"/>
  <c r="DO268" i="3"/>
  <c r="DG268" i="3"/>
  <c r="DF268" i="3"/>
  <c r="CL270" i="3"/>
  <c r="DM268" i="3"/>
  <c r="I202" i="21"/>
  <c r="AT264" i="21"/>
  <c r="AT265" i="21" s="1"/>
  <c r="AT266" i="21" s="1"/>
  <c r="AT267" i="21" s="1"/>
  <c r="AT268" i="21" s="1"/>
  <c r="AT269" i="21" s="1"/>
  <c r="AT270" i="21" s="1"/>
  <c r="AT271" i="21" s="1"/>
  <c r="AT272" i="21" s="1"/>
  <c r="AT273" i="21" s="1"/>
  <c r="AT274" i="21" s="1"/>
  <c r="AT275" i="21" s="1"/>
  <c r="AT276" i="21" s="1"/>
  <c r="AT277" i="21" s="1"/>
  <c r="AT278" i="21" s="1"/>
  <c r="AT279" i="21" s="1"/>
  <c r="AT280" i="21" s="1"/>
  <c r="AT281" i="21" s="1"/>
  <c r="AT282" i="21" s="1"/>
  <c r="AT283" i="21" s="1"/>
  <c r="AT284" i="21" s="1"/>
  <c r="AT285" i="21" s="1"/>
  <c r="AT286" i="21" s="1"/>
  <c r="AT287" i="21" s="1"/>
  <c r="AT288" i="21" s="1"/>
  <c r="AT289" i="21" s="1"/>
  <c r="AT290" i="21" s="1"/>
  <c r="AT291" i="21" s="1"/>
  <c r="AT292" i="21" s="1"/>
  <c r="AT293" i="21" s="1"/>
  <c r="AT294" i="21" s="1"/>
  <c r="AT295" i="21" s="1"/>
  <c r="BO272" i="3"/>
  <c r="BE273" i="3"/>
  <c r="BQ272" i="3"/>
  <c r="BB273" i="3"/>
  <c r="BN272" i="3"/>
  <c r="BS272" i="3"/>
  <c r="BM272" i="3"/>
  <c r="AV273" i="3"/>
  <c r="CA271" i="3"/>
  <c r="CL271" i="3"/>
  <c r="CM271" i="3"/>
  <c r="CK271" i="3"/>
  <c r="DM270" i="3"/>
  <c r="CF271" i="3"/>
  <c r="DC271" i="3"/>
  <c r="DD271" i="3"/>
  <c r="DB271" i="3"/>
  <c r="DA271" i="3"/>
  <c r="DK271" i="3"/>
  <c r="DI271" i="3"/>
  <c r="DJ271" i="3"/>
  <c r="DF270" i="3"/>
  <c r="DO270" i="3"/>
  <c r="DE270" i="3"/>
  <c r="DG270" i="3"/>
  <c r="H273" i="3"/>
  <c r="BZ273" i="3" s="1"/>
  <c r="G273" i="3"/>
  <c r="DN270" i="3"/>
  <c r="CH272" i="3"/>
  <c r="CC272" i="3"/>
  <c r="CE272" i="3"/>
  <c r="CU272" i="3"/>
  <c r="BX272" i="3"/>
  <c r="BY272" i="3"/>
  <c r="CS272" i="3"/>
  <c r="CT272" i="3"/>
  <c r="I272" i="3" s="1"/>
  <c r="CW272" i="3"/>
  <c r="CY272" i="3"/>
  <c r="CD272" i="3"/>
  <c r="CI272" i="3"/>
  <c r="H277" i="3"/>
  <c r="BZ277" i="3" s="1"/>
  <c r="G277" i="3"/>
  <c r="CH276" i="3"/>
  <c r="CC276" i="3"/>
  <c r="BX276" i="3"/>
  <c r="CU276" i="3"/>
  <c r="CE276" i="3"/>
  <c r="CJ272" i="3" l="1"/>
  <c r="CM272" i="3" s="1"/>
  <c r="BS273" i="3"/>
  <c r="BB274" i="3"/>
  <c r="BN273" i="3"/>
  <c r="BQ273" i="3"/>
  <c r="BO273" i="3"/>
  <c r="BE274" i="3"/>
  <c r="BM273" i="3"/>
  <c r="AV274" i="3"/>
  <c r="G380" i="21"/>
  <c r="I211" i="21"/>
  <c r="I155" i="21" s="1"/>
  <c r="AT263" i="22"/>
  <c r="A449" i="21"/>
  <c r="CF272" i="3"/>
  <c r="CA272" i="3"/>
  <c r="DM271" i="3"/>
  <c r="DN271" i="3"/>
  <c r="DC272" i="3"/>
  <c r="DK272" i="3"/>
  <c r="DB272" i="3"/>
  <c r="DJ272" i="3"/>
  <c r="DD272" i="3"/>
  <c r="DI272" i="3"/>
  <c r="DA272" i="3"/>
  <c r="CU273" i="3"/>
  <c r="CE273" i="3"/>
  <c r="BX273" i="3"/>
  <c r="CC273" i="3"/>
  <c r="CH273" i="3"/>
  <c r="BY273" i="3"/>
  <c r="CS273" i="3"/>
  <c r="CT273" i="3"/>
  <c r="CD273" i="3"/>
  <c r="CY273" i="3"/>
  <c r="CI273" i="3"/>
  <c r="CW273" i="3"/>
  <c r="DG271" i="3"/>
  <c r="DE271" i="3"/>
  <c r="DO271" i="3"/>
  <c r="DF271" i="3"/>
  <c r="CU277" i="3"/>
  <c r="CE277" i="3"/>
  <c r="CH277" i="3"/>
  <c r="BX277" i="3"/>
  <c r="CC277" i="3"/>
  <c r="H278" i="3"/>
  <c r="G278" i="3"/>
  <c r="CK272" i="3" l="1"/>
  <c r="CL272" i="3"/>
  <c r="CJ273" i="3"/>
  <c r="CK273" i="3" s="1"/>
  <c r="AV275" i="3"/>
  <c r="CS274" i="3"/>
  <c r="BM274" i="3"/>
  <c r="BE275" i="3"/>
  <c r="CD274" i="3"/>
  <c r="CF274" i="3" s="1"/>
  <c r="BY274" i="3"/>
  <c r="CA274" i="3" s="1"/>
  <c r="BO274" i="3"/>
  <c r="CI274" i="3"/>
  <c r="AT264" i="22"/>
  <c r="AT265" i="22" s="1"/>
  <c r="AT266" i="22" s="1"/>
  <c r="AT267" i="22" s="1"/>
  <c r="AT268" i="22" s="1"/>
  <c r="AT269" i="22" s="1"/>
  <c r="AT270" i="22" s="1"/>
  <c r="AT271" i="22" s="1"/>
  <c r="AT272" i="22" s="1"/>
  <c r="AT273" i="22" s="1"/>
  <c r="AT274" i="22" s="1"/>
  <c r="AT275" i="22" s="1"/>
  <c r="AT276" i="22" s="1"/>
  <c r="AT277" i="22" s="1"/>
  <c r="AT278" i="22" s="1"/>
  <c r="AT279" i="22" s="1"/>
  <c r="AT280" i="22" s="1"/>
  <c r="AT281" i="22" s="1"/>
  <c r="AT282" i="22" s="1"/>
  <c r="AT283" i="22" s="1"/>
  <c r="AT284" i="22" s="1"/>
  <c r="AT285" i="22" s="1"/>
  <c r="AT286" i="22" s="1"/>
  <c r="AT287" i="22" s="1"/>
  <c r="AT288" i="22" s="1"/>
  <c r="AT289" i="22" s="1"/>
  <c r="AT290" i="22" s="1"/>
  <c r="AT291" i="22" s="1"/>
  <c r="AT292" i="22" s="1"/>
  <c r="AT293" i="22" s="1"/>
  <c r="AT294" i="22" s="1"/>
  <c r="AT295" i="22" s="1"/>
  <c r="I202" i="22"/>
  <c r="BB275" i="3"/>
  <c r="CY274" i="3"/>
  <c r="CW274" i="3"/>
  <c r="BN274" i="3"/>
  <c r="BQ274" i="3"/>
  <c r="BS274" i="3"/>
  <c r="CT274" i="3"/>
  <c r="I274" i="3" s="1"/>
  <c r="DN272" i="3"/>
  <c r="I273" i="3"/>
  <c r="CA273" i="3"/>
  <c r="DM272" i="3"/>
  <c r="DE272" i="3"/>
  <c r="DF272" i="3"/>
  <c r="DO272" i="3"/>
  <c r="DG272" i="3"/>
  <c r="CF273" i="3"/>
  <c r="CU278" i="3"/>
  <c r="CE278" i="3"/>
  <c r="CC278" i="3"/>
  <c r="BX278" i="3"/>
  <c r="CH278" i="3"/>
  <c r="CH295" i="3" s="1"/>
  <c r="CH298" i="3" s="1"/>
  <c r="G295" i="3"/>
  <c r="BZ278" i="3"/>
  <c r="H295" i="3"/>
  <c r="F304" i="3" s="1"/>
  <c r="CM273" i="3" l="1"/>
  <c r="CL273" i="3"/>
  <c r="CJ274" i="3"/>
  <c r="CL274" i="3" s="1"/>
  <c r="CT275" i="3"/>
  <c r="I275" i="3" s="1"/>
  <c r="BN275" i="3"/>
  <c r="BQ275" i="3"/>
  <c r="CY275" i="3"/>
  <c r="CW275" i="3"/>
  <c r="BB276" i="3"/>
  <c r="BS275" i="3"/>
  <c r="CD275" i="3"/>
  <c r="CF275" i="3" s="1"/>
  <c r="BY275" i="3"/>
  <c r="CA275" i="3" s="1"/>
  <c r="BE276" i="3"/>
  <c r="CI275" i="3"/>
  <c r="CJ275" i="3" s="1"/>
  <c r="CL275" i="3" s="1"/>
  <c r="BO275" i="3"/>
  <c r="G380" i="22"/>
  <c r="DC274" i="3"/>
  <c r="DD274" i="3"/>
  <c r="DK274" i="3"/>
  <c r="DA274" i="3"/>
  <c r="DB274" i="3"/>
  <c r="DJ274" i="3"/>
  <c r="DI274" i="3"/>
  <c r="I211" i="22"/>
  <c r="I155" i="22" s="1"/>
  <c r="AT263" i="23"/>
  <c r="A449" i="22"/>
  <c r="BM275" i="3"/>
  <c r="AV276" i="3"/>
  <c r="CS275" i="3"/>
  <c r="DK273" i="3"/>
  <c r="DD273" i="3"/>
  <c r="DC273" i="3"/>
  <c r="DI273" i="3"/>
  <c r="DA273" i="3"/>
  <c r="DJ273" i="3"/>
  <c r="DB273" i="3"/>
  <c r="J152" i="3"/>
  <c r="F303" i="3"/>
  <c r="I31" i="3"/>
  <c r="O10" i="9"/>
  <c r="O11" i="9"/>
  <c r="CM275" i="3" l="1"/>
  <c r="CK274" i="3"/>
  <c r="CM274" i="3"/>
  <c r="CK275" i="3"/>
  <c r="DM274" i="3"/>
  <c r="DN274" i="3"/>
  <c r="I202" i="23"/>
  <c r="AT264" i="23"/>
  <c r="AT265" i="23" s="1"/>
  <c r="AT266" i="23" s="1"/>
  <c r="AT267" i="23" s="1"/>
  <c r="AT268" i="23" s="1"/>
  <c r="AT269" i="23" s="1"/>
  <c r="AT270" i="23" s="1"/>
  <c r="AT271" i="23" s="1"/>
  <c r="AT272" i="23" s="1"/>
  <c r="AT273" i="23" s="1"/>
  <c r="AT274" i="23" s="1"/>
  <c r="AT275" i="23" s="1"/>
  <c r="AT276" i="23" s="1"/>
  <c r="AT277" i="23" s="1"/>
  <c r="AT278" i="23" s="1"/>
  <c r="AT279" i="23" s="1"/>
  <c r="AT280" i="23" s="1"/>
  <c r="AT281" i="23" s="1"/>
  <c r="AT282" i="23" s="1"/>
  <c r="AT283" i="23" s="1"/>
  <c r="AT284" i="23" s="1"/>
  <c r="AT285" i="23" s="1"/>
  <c r="AT286" i="23" s="1"/>
  <c r="AT287" i="23" s="1"/>
  <c r="AT288" i="23" s="1"/>
  <c r="AT289" i="23" s="1"/>
  <c r="AT290" i="23" s="1"/>
  <c r="AT291" i="23" s="1"/>
  <c r="AT292" i="23" s="1"/>
  <c r="AT293" i="23" s="1"/>
  <c r="AT294" i="23" s="1"/>
  <c r="AT295" i="23" s="1"/>
  <c r="BN276" i="3"/>
  <c r="BB277" i="3"/>
  <c r="CT276" i="3"/>
  <c r="I276" i="3" s="1"/>
  <c r="CW276" i="3"/>
  <c r="BQ276" i="3"/>
  <c r="CY276" i="3"/>
  <c r="BS276" i="3"/>
  <c r="DE274" i="3"/>
  <c r="DO274" i="3"/>
  <c r="DF274" i="3"/>
  <c r="DG274" i="3"/>
  <c r="AV277" i="3"/>
  <c r="CS276" i="3"/>
  <c r="BM276" i="3"/>
  <c r="CD276" i="3"/>
  <c r="CF276" i="3" s="1"/>
  <c r="BO276" i="3"/>
  <c r="BY276" i="3"/>
  <c r="CA276" i="3" s="1"/>
  <c r="BE277" i="3"/>
  <c r="CI276" i="3"/>
  <c r="DC275" i="3"/>
  <c r="DJ275" i="3"/>
  <c r="DD275" i="3"/>
  <c r="DI275" i="3"/>
  <c r="DA275" i="3"/>
  <c r="DB275" i="3"/>
  <c r="DK275" i="3"/>
  <c r="DN273" i="3"/>
  <c r="DO273" i="3"/>
  <c r="DF273" i="3"/>
  <c r="DE273" i="3"/>
  <c r="DG273" i="3"/>
  <c r="DM273" i="3"/>
  <c r="O9" i="9"/>
  <c r="O12" i="9" s="1"/>
  <c r="P4" i="9" s="1"/>
  <c r="H36" i="3"/>
  <c r="G36" i="3" s="1"/>
  <c r="F307" i="3"/>
  <c r="CJ276" i="3" l="1"/>
  <c r="CM276" i="3" s="1"/>
  <c r="DM275" i="3"/>
  <c r="CS277" i="3"/>
  <c r="AV278" i="3"/>
  <c r="BM277" i="3"/>
  <c r="DK276" i="3"/>
  <c r="DD276" i="3"/>
  <c r="DC276" i="3"/>
  <c r="DI276" i="3"/>
  <c r="DJ276" i="3"/>
  <c r="DB276" i="3"/>
  <c r="DA276" i="3"/>
  <c r="CD277" i="3"/>
  <c r="CF277" i="3" s="1"/>
  <c r="BY277" i="3"/>
  <c r="CA277" i="3" s="1"/>
  <c r="BE278" i="3"/>
  <c r="BO277" i="3"/>
  <c r="CI277" i="3"/>
  <c r="BB278" i="3"/>
  <c r="CW277" i="3"/>
  <c r="CT277" i="3"/>
  <c r="I277" i="3" s="1"/>
  <c r="BS277" i="3"/>
  <c r="CY277" i="3"/>
  <c r="BQ277" i="3"/>
  <c r="BN277" i="3"/>
  <c r="DO275" i="3"/>
  <c r="DE275" i="3"/>
  <c r="DG275" i="3"/>
  <c r="DF275" i="3"/>
  <c r="G380" i="23"/>
  <c r="AT263" i="24"/>
  <c r="I211" i="23"/>
  <c r="I155" i="23" s="1"/>
  <c r="A449" i="23"/>
  <c r="DN275" i="3"/>
  <c r="P5" i="9"/>
  <c r="P10" i="9" s="1"/>
  <c r="P6" i="9"/>
  <c r="P11" i="9" s="1"/>
  <c r="G307" i="3"/>
  <c r="F299" i="19"/>
  <c r="CJ277" i="3" l="1"/>
  <c r="CM277" i="3" s="1"/>
  <c r="CK276" i="3"/>
  <c r="CL276" i="3"/>
  <c r="DM276" i="3"/>
  <c r="DN276" i="3"/>
  <c r="CT278" i="3"/>
  <c r="I278" i="3" s="1"/>
  <c r="CW278" i="3"/>
  <c r="BQ278" i="3"/>
  <c r="BN278" i="3"/>
  <c r="BS278" i="3"/>
  <c r="BB279" i="3"/>
  <c r="CY278" i="3"/>
  <c r="I202" i="24"/>
  <c r="AT264" i="24"/>
  <c r="AT265" i="24" s="1"/>
  <c r="AT266" i="24" s="1"/>
  <c r="AT267" i="24" s="1"/>
  <c r="AT268" i="24" s="1"/>
  <c r="AT269" i="24" s="1"/>
  <c r="AT270" i="24" s="1"/>
  <c r="AT271" i="24" s="1"/>
  <c r="AT272" i="24" s="1"/>
  <c r="AT273" i="24" s="1"/>
  <c r="AT274" i="24" s="1"/>
  <c r="AT275" i="24" s="1"/>
  <c r="AT276" i="24" s="1"/>
  <c r="AT277" i="24" s="1"/>
  <c r="AT278" i="24" s="1"/>
  <c r="AT279" i="24" s="1"/>
  <c r="AT280" i="24" s="1"/>
  <c r="AT281" i="24" s="1"/>
  <c r="AT282" i="24" s="1"/>
  <c r="AT283" i="24" s="1"/>
  <c r="AT284" i="24" s="1"/>
  <c r="AT285" i="24" s="1"/>
  <c r="AT286" i="24" s="1"/>
  <c r="AT287" i="24" s="1"/>
  <c r="AT288" i="24" s="1"/>
  <c r="AT289" i="24" s="1"/>
  <c r="AT290" i="24" s="1"/>
  <c r="AT291" i="24" s="1"/>
  <c r="AT292" i="24" s="1"/>
  <c r="AT293" i="24" s="1"/>
  <c r="AT294" i="24" s="1"/>
  <c r="AT295" i="24" s="1"/>
  <c r="BE279" i="3"/>
  <c r="CI278" i="3"/>
  <c r="CD278" i="3"/>
  <c r="CF278" i="3" s="1"/>
  <c r="BY278" i="3"/>
  <c r="CA278" i="3" s="1"/>
  <c r="BO278" i="3"/>
  <c r="DK277" i="3"/>
  <c r="DC277" i="3"/>
  <c r="DD277" i="3"/>
  <c r="DA277" i="3"/>
  <c r="DB277" i="3"/>
  <c r="DI277" i="3"/>
  <c r="DJ277" i="3"/>
  <c r="CS278" i="3"/>
  <c r="AV279" i="3"/>
  <c r="BM278" i="3"/>
  <c r="DE276" i="3"/>
  <c r="DG276" i="3"/>
  <c r="DF276" i="3"/>
  <c r="DO276" i="3"/>
  <c r="DB260" i="19"/>
  <c r="CF260" i="19"/>
  <c r="CE280" i="19" s="1"/>
  <c r="P9" i="9"/>
  <c r="P12" i="9" s="1"/>
  <c r="Q4" i="9" s="1"/>
  <c r="H36" i="19"/>
  <c r="G36" i="19" s="1"/>
  <c r="F307" i="19"/>
  <c r="CL277" i="3" l="1"/>
  <c r="CK277" i="3"/>
  <c r="CJ278" i="3"/>
  <c r="DM277" i="3"/>
  <c r="DN277" i="3"/>
  <c r="DE277" i="3"/>
  <c r="DF277" i="3"/>
  <c r="DG277" i="3"/>
  <c r="DO277" i="3"/>
  <c r="BS279" i="3"/>
  <c r="CT279" i="3"/>
  <c r="CW279" i="3"/>
  <c r="BN279" i="3"/>
  <c r="BQ279" i="3"/>
  <c r="BB280" i="3"/>
  <c r="CY279" i="3"/>
  <c r="DC279" i="3"/>
  <c r="CI279" i="3"/>
  <c r="DK279" i="3"/>
  <c r="BE280" i="3"/>
  <c r="BO279" i="3"/>
  <c r="CD279" i="3"/>
  <c r="CF279" i="3" s="1"/>
  <c r="BY279" i="3"/>
  <c r="CA279" i="3" s="1"/>
  <c r="BM279" i="3"/>
  <c r="AV280" i="3"/>
  <c r="CS279" i="3"/>
  <c r="G380" i="24"/>
  <c r="A449" i="24"/>
  <c r="AT263" i="25"/>
  <c r="I211" i="24"/>
  <c r="I155" i="24" s="1"/>
  <c r="DK278" i="3"/>
  <c r="I295" i="3"/>
  <c r="DI278" i="3"/>
  <c r="DC278" i="3"/>
  <c r="DJ278" i="3"/>
  <c r="DA278" i="3"/>
  <c r="DA295" i="3" s="1"/>
  <c r="DB278" i="3"/>
  <c r="DD278" i="3"/>
  <c r="CC276" i="19"/>
  <c r="CE292" i="19"/>
  <c r="CH271" i="19"/>
  <c r="CE265" i="19"/>
  <c r="CH279" i="19"/>
  <c r="CH290" i="19"/>
  <c r="CC277" i="19"/>
  <c r="CE277" i="19"/>
  <c r="CC285" i="19"/>
  <c r="CC281" i="19"/>
  <c r="CC283" i="19"/>
  <c r="CC294" i="19"/>
  <c r="CH265" i="19"/>
  <c r="CC286" i="19"/>
  <c r="CC268" i="19"/>
  <c r="CE271" i="19"/>
  <c r="CC271" i="19"/>
  <c r="CC266" i="19"/>
  <c r="CC288" i="19"/>
  <c r="CC287" i="19"/>
  <c r="CE290" i="19"/>
  <c r="CH266" i="19"/>
  <c r="CC290" i="19"/>
  <c r="CE291" i="19"/>
  <c r="CC284" i="19"/>
  <c r="CH293" i="19"/>
  <c r="CH273" i="19"/>
  <c r="CE278" i="19"/>
  <c r="CE293" i="19"/>
  <c r="CE273" i="19"/>
  <c r="CC270" i="19"/>
  <c r="CE266" i="19"/>
  <c r="CE264" i="19"/>
  <c r="CH288" i="19"/>
  <c r="CH289" i="19"/>
  <c r="CC267" i="19"/>
  <c r="CC289" i="19"/>
  <c r="CH294" i="19"/>
  <c r="CC275" i="19"/>
  <c r="CC264" i="19"/>
  <c r="CE274" i="19"/>
  <c r="CE281" i="19"/>
  <c r="CH275" i="19"/>
  <c r="CE268" i="19"/>
  <c r="CE267" i="19"/>
  <c r="CH270" i="19"/>
  <c r="CH292" i="19"/>
  <c r="CH285" i="19"/>
  <c r="CH276" i="19"/>
  <c r="CE276" i="19"/>
  <c r="CH282" i="19"/>
  <c r="CE282" i="19"/>
  <c r="CH264" i="19"/>
  <c r="CE269" i="19"/>
  <c r="CC265" i="19"/>
  <c r="CC282" i="19"/>
  <c r="CC292" i="19"/>
  <c r="CH287" i="19"/>
  <c r="CE294" i="19"/>
  <c r="CH269" i="19"/>
  <c r="CC293" i="19"/>
  <c r="CE285" i="19"/>
  <c r="CE283" i="19"/>
  <c r="CH272" i="19"/>
  <c r="CH268" i="19"/>
  <c r="CC279" i="19"/>
  <c r="CE287" i="19"/>
  <c r="CH267" i="19"/>
  <c r="CC280" i="19"/>
  <c r="CC269" i="19"/>
  <c r="CH291" i="19"/>
  <c r="CC278" i="19"/>
  <c r="CH283" i="19"/>
  <c r="CH277" i="19"/>
  <c r="CC274" i="19"/>
  <c r="CC291" i="19"/>
  <c r="CE270" i="19"/>
  <c r="CH284" i="19"/>
  <c r="DB259" i="19"/>
  <c r="DB273" i="19" s="1"/>
  <c r="CH286" i="19"/>
  <c r="CE275" i="19"/>
  <c r="CC272" i="19"/>
  <c r="CH280" i="19"/>
  <c r="CE279" i="19"/>
  <c r="CC273" i="19"/>
  <c r="CH278" i="19"/>
  <c r="CH281" i="19"/>
  <c r="CE289" i="19"/>
  <c r="CE284" i="19"/>
  <c r="CE272" i="19"/>
  <c r="CH274" i="19"/>
  <c r="CE286" i="19"/>
  <c r="Q6" i="9"/>
  <c r="Q11" i="9" s="1"/>
  <c r="Q5" i="9"/>
  <c r="Q10" i="9" s="1"/>
  <c r="G307" i="19"/>
  <c r="F299" i="20"/>
  <c r="DN278" i="3" l="1"/>
  <c r="CM278" i="3"/>
  <c r="CK278" i="3"/>
  <c r="CJ279" i="3"/>
  <c r="CL278" i="3"/>
  <c r="CD280" i="3"/>
  <c r="CF280" i="3" s="1"/>
  <c r="DC280" i="3"/>
  <c r="BE281" i="3"/>
  <c r="BY280" i="3"/>
  <c r="CA280" i="3" s="1"/>
  <c r="CI280" i="3"/>
  <c r="BO280" i="3"/>
  <c r="DK280" i="3"/>
  <c r="DN279" i="3"/>
  <c r="DM279" i="3"/>
  <c r="DI295" i="3"/>
  <c r="I152" i="3" s="1"/>
  <c r="DM278" i="3"/>
  <c r="CS280" i="3"/>
  <c r="BM280" i="3"/>
  <c r="AV281" i="3"/>
  <c r="DG279" i="3"/>
  <c r="DO279" i="3"/>
  <c r="DE279" i="3"/>
  <c r="DF279" i="3"/>
  <c r="BS280" i="3"/>
  <c r="BN280" i="3"/>
  <c r="CT280" i="3"/>
  <c r="BB281" i="3"/>
  <c r="CW280" i="3"/>
  <c r="CY280" i="3"/>
  <c r="BQ280" i="3"/>
  <c r="DE278" i="3"/>
  <c r="DG278" i="3"/>
  <c r="DO278" i="3"/>
  <c r="DF278" i="3"/>
  <c r="AT264" i="25"/>
  <c r="AT265" i="25" s="1"/>
  <c r="AT266" i="25" s="1"/>
  <c r="AT267" i="25" s="1"/>
  <c r="AT268" i="25" s="1"/>
  <c r="AT269" i="25" s="1"/>
  <c r="AT270" i="25" s="1"/>
  <c r="AT271" i="25" s="1"/>
  <c r="AT272" i="25" s="1"/>
  <c r="AT273" i="25" s="1"/>
  <c r="AT274" i="25" s="1"/>
  <c r="AT275" i="25" s="1"/>
  <c r="AT276" i="25" s="1"/>
  <c r="AT277" i="25" s="1"/>
  <c r="AT278" i="25" s="1"/>
  <c r="AT279" i="25" s="1"/>
  <c r="AT280" i="25" s="1"/>
  <c r="AT281" i="25" s="1"/>
  <c r="AT282" i="25" s="1"/>
  <c r="AT283" i="25" s="1"/>
  <c r="AT284" i="25" s="1"/>
  <c r="AT285" i="25" s="1"/>
  <c r="AT286" i="25" s="1"/>
  <c r="AT287" i="25" s="1"/>
  <c r="AT288" i="25" s="1"/>
  <c r="AT289" i="25" s="1"/>
  <c r="AT290" i="25" s="1"/>
  <c r="AT291" i="25" s="1"/>
  <c r="AT292" i="25" s="1"/>
  <c r="AT293" i="25" s="1"/>
  <c r="AT294" i="25" s="1"/>
  <c r="AT295" i="25" s="1"/>
  <c r="I202" i="25"/>
  <c r="DD276" i="19"/>
  <c r="DD281" i="19"/>
  <c r="DD293" i="19"/>
  <c r="DD265" i="19"/>
  <c r="DA276" i="19"/>
  <c r="DD269" i="19"/>
  <c r="DB282" i="19"/>
  <c r="DB284" i="19"/>
  <c r="DD274" i="19"/>
  <c r="DD285" i="19"/>
  <c r="DA278" i="19"/>
  <c r="DA273" i="19"/>
  <c r="DA270" i="19"/>
  <c r="DB269" i="19"/>
  <c r="DD294" i="19"/>
  <c r="DB266" i="19"/>
  <c r="DB280" i="19"/>
  <c r="DA274" i="19"/>
  <c r="DA293" i="19"/>
  <c r="DD286" i="19"/>
  <c r="DB267" i="19"/>
  <c r="DA267" i="19"/>
  <c r="DA280" i="19"/>
  <c r="DA285" i="19"/>
  <c r="DB290" i="19"/>
  <c r="DD289" i="19"/>
  <c r="DB283" i="19"/>
  <c r="DB264" i="19"/>
  <c r="DD292" i="19"/>
  <c r="DB294" i="19"/>
  <c r="DD268" i="19"/>
  <c r="DB265" i="19"/>
  <c r="DD288" i="19"/>
  <c r="DA275" i="19"/>
  <c r="DB281" i="19"/>
  <c r="DD291" i="19"/>
  <c r="DA282" i="19"/>
  <c r="DB268" i="19"/>
  <c r="DB279" i="19"/>
  <c r="DD278" i="19"/>
  <c r="DD280" i="19"/>
  <c r="DB289" i="19"/>
  <c r="DB293" i="19"/>
  <c r="DB285" i="19"/>
  <c r="DB287" i="19"/>
  <c r="DB272" i="19"/>
  <c r="DA286" i="19"/>
  <c r="DA279" i="19"/>
  <c r="DA268" i="19"/>
  <c r="DA291" i="19"/>
  <c r="DD266" i="19"/>
  <c r="DA266" i="19"/>
  <c r="DA277" i="19"/>
  <c r="DD284" i="19"/>
  <c r="DD290" i="19"/>
  <c r="DA272" i="19"/>
  <c r="DD267" i="19"/>
  <c r="DD270" i="19"/>
  <c r="CH295" i="19"/>
  <c r="CH298" i="19" s="1"/>
  <c r="DD271" i="19"/>
  <c r="DA284" i="19"/>
  <c r="DA290" i="19"/>
  <c r="DB288" i="19"/>
  <c r="DA283" i="19"/>
  <c r="DA265" i="19"/>
  <c r="DD283" i="19"/>
  <c r="DB274" i="19"/>
  <c r="DD282" i="19"/>
  <c r="DB275" i="19"/>
  <c r="DD264" i="19"/>
  <c r="DA288" i="19"/>
  <c r="DB277" i="19"/>
  <c r="DD279" i="19"/>
  <c r="DA281" i="19"/>
  <c r="DA294" i="19"/>
  <c r="DB291" i="19"/>
  <c r="DD275" i="19"/>
  <c r="DA264" i="19"/>
  <c r="DD277" i="19"/>
  <c r="DB270" i="19"/>
  <c r="DB260" i="20"/>
  <c r="DB278" i="19"/>
  <c r="DB276" i="19"/>
  <c r="DA289" i="19"/>
  <c r="DA271" i="19"/>
  <c r="DA269" i="19"/>
  <c r="DA287" i="19"/>
  <c r="DD273" i="19"/>
  <c r="DB271" i="19"/>
  <c r="DB286" i="19"/>
  <c r="DJ261" i="19"/>
  <c r="DA292" i="19"/>
  <c r="DB292" i="19"/>
  <c r="DD287" i="19"/>
  <c r="DD272" i="19"/>
  <c r="CF260" i="20"/>
  <c r="Q9" i="9"/>
  <c r="Q12" i="9" s="1"/>
  <c r="R6" i="9" s="1"/>
  <c r="R11" i="9" s="1"/>
  <c r="H36" i="20"/>
  <c r="G36" i="20" s="1"/>
  <c r="F307" i="20"/>
  <c r="CK279" i="3" l="1"/>
  <c r="CM279" i="3"/>
  <c r="CL279" i="3"/>
  <c r="CJ280" i="3"/>
  <c r="A449" i="25"/>
  <c r="AT263" i="26"/>
  <c r="I211" i="25"/>
  <c r="I155" i="25" s="1"/>
  <c r="DM280" i="3"/>
  <c r="DN280" i="3"/>
  <c r="BN281" i="3"/>
  <c r="BS281" i="3"/>
  <c r="BQ281" i="3"/>
  <c r="CT281" i="3"/>
  <c r="BB282" i="3"/>
  <c r="CY281" i="3"/>
  <c r="CW281" i="3"/>
  <c r="BM281" i="3"/>
  <c r="AV282" i="3"/>
  <c r="CS281" i="3"/>
  <c r="BY281" i="3"/>
  <c r="CA281" i="3" s="1"/>
  <c r="CI281" i="3"/>
  <c r="BE282" i="3"/>
  <c r="CD281" i="3"/>
  <c r="CF281" i="3" s="1"/>
  <c r="DC281" i="3"/>
  <c r="DK281" i="3"/>
  <c r="BO281" i="3"/>
  <c r="DG280" i="3"/>
  <c r="DF280" i="3"/>
  <c r="DO280" i="3"/>
  <c r="DE280" i="3"/>
  <c r="G380" i="25"/>
  <c r="DA295" i="19"/>
  <c r="R5" i="9"/>
  <c r="R10" i="9" s="1"/>
  <c r="R9" i="9" s="1"/>
  <c r="R12" i="9" s="1"/>
  <c r="S4" i="9" s="1"/>
  <c r="R4" i="9"/>
  <c r="CC287" i="20"/>
  <c r="CE268" i="20"/>
  <c r="CC294" i="20"/>
  <c r="CH293" i="20"/>
  <c r="CH276" i="20"/>
  <c r="CH286" i="20"/>
  <c r="CE285" i="20"/>
  <c r="CH282" i="20"/>
  <c r="CH283" i="20"/>
  <c r="CC280" i="20"/>
  <c r="CC272" i="20"/>
  <c r="CE291" i="20"/>
  <c r="CH289" i="20"/>
  <c r="CH275" i="20"/>
  <c r="CE266" i="20"/>
  <c r="DB259" i="20"/>
  <c r="CH291" i="20"/>
  <c r="CH290" i="20"/>
  <c r="CE280" i="20"/>
  <c r="CE275" i="20"/>
  <c r="CE272" i="20"/>
  <c r="CC290" i="20"/>
  <c r="CE289" i="20"/>
  <c r="CE277" i="20"/>
  <c r="CC286" i="20"/>
  <c r="CH281" i="20"/>
  <c r="CE265" i="20"/>
  <c r="CC281" i="20"/>
  <c r="CH294" i="20"/>
  <c r="CH267" i="20"/>
  <c r="CC289" i="20"/>
  <c r="CH288" i="20"/>
  <c r="CE290" i="20"/>
  <c r="CH264" i="20"/>
  <c r="CC292" i="20"/>
  <c r="CC277" i="20"/>
  <c r="CC265" i="20"/>
  <c r="CC278" i="20"/>
  <c r="CH277" i="20"/>
  <c r="CE287" i="20"/>
  <c r="CE270" i="20"/>
  <c r="CH292" i="20"/>
  <c r="CE276" i="20"/>
  <c r="CE267" i="20"/>
  <c r="CC282" i="20"/>
  <c r="CE264" i="20"/>
  <c r="CE281" i="20"/>
  <c r="CE273" i="20"/>
  <c r="CH273" i="20"/>
  <c r="CC275" i="20"/>
  <c r="CC269" i="20"/>
  <c r="CC288" i="20"/>
  <c r="CE279" i="20"/>
  <c r="CH278" i="20"/>
  <c r="CH274" i="20"/>
  <c r="CE284" i="20"/>
  <c r="CC285" i="20"/>
  <c r="CH285" i="20"/>
  <c r="CE293" i="20"/>
  <c r="CH265" i="20"/>
  <c r="CC279" i="20"/>
  <c r="CC267" i="20"/>
  <c r="CE278" i="20"/>
  <c r="CC268" i="20"/>
  <c r="CH284" i="20"/>
  <c r="CH287" i="20"/>
  <c r="CC283" i="20"/>
  <c r="CC271" i="20"/>
  <c r="CH269" i="20"/>
  <c r="CC284" i="20"/>
  <c r="CE274" i="20"/>
  <c r="CH268" i="20"/>
  <c r="CE283" i="20"/>
  <c r="CC276" i="20"/>
  <c r="CC293" i="20"/>
  <c r="CE288" i="20"/>
  <c r="CH279" i="20"/>
  <c r="CC266" i="20"/>
  <c r="CC273" i="20"/>
  <c r="CC274" i="20"/>
  <c r="CC264" i="20"/>
  <c r="CC270" i="20"/>
  <c r="CE271" i="20"/>
  <c r="CH266" i="20"/>
  <c r="CE294" i="20"/>
  <c r="CC291" i="20"/>
  <c r="CH280" i="20"/>
  <c r="CE282" i="20"/>
  <c r="CH272" i="20"/>
  <c r="CE286" i="20"/>
  <c r="CE292" i="20"/>
  <c r="CH270" i="20"/>
  <c r="CE269" i="20"/>
  <c r="CH271" i="20"/>
  <c r="G307" i="20"/>
  <c r="F299" i="21"/>
  <c r="CJ281" i="3" l="1"/>
  <c r="CM280" i="3"/>
  <c r="CK280" i="3"/>
  <c r="CL280" i="3"/>
  <c r="CS282" i="3"/>
  <c r="BM282" i="3"/>
  <c r="AV283" i="3"/>
  <c r="DN281" i="3"/>
  <c r="DM281" i="3"/>
  <c r="DG281" i="3"/>
  <c r="DO281" i="3"/>
  <c r="DE281" i="3"/>
  <c r="DF281" i="3"/>
  <c r="BY282" i="3"/>
  <c r="CA282" i="3" s="1"/>
  <c r="BE283" i="3"/>
  <c r="DC282" i="3"/>
  <c r="DK282" i="3"/>
  <c r="CD282" i="3"/>
  <c r="CF282" i="3" s="1"/>
  <c r="BO282" i="3"/>
  <c r="CI282" i="3"/>
  <c r="CT282" i="3"/>
  <c r="BN282" i="3"/>
  <c r="BB283" i="3"/>
  <c r="CY282" i="3"/>
  <c r="BS282" i="3"/>
  <c r="CW282" i="3"/>
  <c r="BQ282" i="3"/>
  <c r="AT264" i="26"/>
  <c r="AT265" i="26" s="1"/>
  <c r="AT266" i="26" s="1"/>
  <c r="AT267" i="26" s="1"/>
  <c r="AT268" i="26" s="1"/>
  <c r="AT269" i="26" s="1"/>
  <c r="AT270" i="26" s="1"/>
  <c r="AT271" i="26" s="1"/>
  <c r="AT272" i="26" s="1"/>
  <c r="AT273" i="26" s="1"/>
  <c r="AT274" i="26" s="1"/>
  <c r="AT275" i="26" s="1"/>
  <c r="AT276" i="26" s="1"/>
  <c r="AT277" i="26" s="1"/>
  <c r="AT278" i="26" s="1"/>
  <c r="AT279" i="26" s="1"/>
  <c r="AT280" i="26" s="1"/>
  <c r="AT281" i="26" s="1"/>
  <c r="AT282" i="26" s="1"/>
  <c r="AT283" i="26" s="1"/>
  <c r="AT284" i="26" s="1"/>
  <c r="AT285" i="26" s="1"/>
  <c r="AT286" i="26" s="1"/>
  <c r="AT287" i="26" s="1"/>
  <c r="AT288" i="26" s="1"/>
  <c r="AT289" i="26" s="1"/>
  <c r="AT290" i="26" s="1"/>
  <c r="AT291" i="26" s="1"/>
  <c r="AT292" i="26" s="1"/>
  <c r="AT293" i="26" s="1"/>
  <c r="AT294" i="26" s="1"/>
  <c r="AT295" i="26" s="1"/>
  <c r="I202" i="26"/>
  <c r="CF260" i="21"/>
  <c r="CC283" i="21" s="1"/>
  <c r="DB260" i="21"/>
  <c r="DB261" i="20"/>
  <c r="DA283" i="20"/>
  <c r="DD268" i="20"/>
  <c r="DB272" i="20"/>
  <c r="DB277" i="20"/>
  <c r="DB285" i="20"/>
  <c r="DB284" i="20"/>
  <c r="DD293" i="20"/>
  <c r="DA269" i="20"/>
  <c r="DB267" i="20"/>
  <c r="DA277" i="20"/>
  <c r="DA266" i="20"/>
  <c r="DD294" i="20"/>
  <c r="DA291" i="20"/>
  <c r="DA276" i="20"/>
  <c r="DD270" i="20"/>
  <c r="DA281" i="20"/>
  <c r="DD265" i="20"/>
  <c r="DA286" i="20"/>
  <c r="DB282" i="20"/>
  <c r="DB289" i="20"/>
  <c r="DD277" i="20"/>
  <c r="DB281" i="20"/>
  <c r="DD280" i="20"/>
  <c r="DA270" i="20"/>
  <c r="DA294" i="20"/>
  <c r="DD269" i="20"/>
  <c r="DA293" i="20"/>
  <c r="DA279" i="20"/>
  <c r="DB264" i="20"/>
  <c r="DD273" i="20"/>
  <c r="DB287" i="20"/>
  <c r="DD286" i="20"/>
  <c r="DB271" i="20"/>
  <c r="DB279" i="20"/>
  <c r="DA278" i="20"/>
  <c r="DA265" i="20"/>
  <c r="DB274" i="20"/>
  <c r="DA272" i="20"/>
  <c r="DA284" i="20"/>
  <c r="DA268" i="20"/>
  <c r="DA275" i="20"/>
  <c r="DA282" i="20"/>
  <c r="DB280" i="20"/>
  <c r="DA273" i="20"/>
  <c r="DA271" i="20"/>
  <c r="DB291" i="20"/>
  <c r="DD267" i="20"/>
  <c r="DD276" i="20"/>
  <c r="DB293" i="20"/>
  <c r="DD279" i="20"/>
  <c r="DD285" i="20"/>
  <c r="DD289" i="20"/>
  <c r="DD290" i="20"/>
  <c r="DB286" i="20"/>
  <c r="DD287" i="20"/>
  <c r="DA292" i="20"/>
  <c r="DD278" i="20"/>
  <c r="DA289" i="20"/>
  <c r="DA290" i="20"/>
  <c r="DJ261" i="20"/>
  <c r="DB290" i="20"/>
  <c r="DB266" i="20"/>
  <c r="DA264" i="20"/>
  <c r="DB268" i="20"/>
  <c r="DB288" i="20"/>
  <c r="DB276" i="20"/>
  <c r="DB275" i="20"/>
  <c r="DD291" i="20"/>
  <c r="DD284" i="20"/>
  <c r="DD274" i="20"/>
  <c r="DD281" i="20"/>
  <c r="DD288" i="20"/>
  <c r="DA280" i="20"/>
  <c r="DD264" i="20"/>
  <c r="DD272" i="20"/>
  <c r="DD282" i="20"/>
  <c r="DA267" i="20"/>
  <c r="DB292" i="20"/>
  <c r="DD283" i="20"/>
  <c r="DA287" i="20"/>
  <c r="DB269" i="20"/>
  <c r="DD292" i="20"/>
  <c r="DA288" i="20"/>
  <c r="DB294" i="20"/>
  <c r="DB270" i="20"/>
  <c r="DB273" i="20"/>
  <c r="DB283" i="20"/>
  <c r="DA285" i="20"/>
  <c r="DA274" i="20"/>
  <c r="DB265" i="20"/>
  <c r="DB278" i="20"/>
  <c r="DD275" i="20"/>
  <c r="DD271" i="20"/>
  <c r="DD266" i="20"/>
  <c r="S5" i="9"/>
  <c r="S10" i="9" s="1"/>
  <c r="S6" i="9"/>
  <c r="S11" i="9" s="1"/>
  <c r="CH295" i="20"/>
  <c r="CH298" i="20" s="1"/>
  <c r="F307" i="21"/>
  <c r="H36" i="21"/>
  <c r="G36" i="21" s="1"/>
  <c r="CJ282" i="3" l="1"/>
  <c r="CM282" i="3" s="1"/>
  <c r="CL281" i="3"/>
  <c r="CM281" i="3"/>
  <c r="CK281" i="3"/>
  <c r="DN282" i="3"/>
  <c r="DM282" i="3"/>
  <c r="DO282" i="3"/>
  <c r="DF282" i="3"/>
  <c r="DE282" i="3"/>
  <c r="DG282" i="3"/>
  <c r="CY283" i="3"/>
  <c r="BN283" i="3"/>
  <c r="BQ283" i="3"/>
  <c r="BS283" i="3"/>
  <c r="BB284" i="3"/>
  <c r="CT283" i="3"/>
  <c r="CW283" i="3"/>
  <c r="CD283" i="3"/>
  <c r="CF283" i="3" s="1"/>
  <c r="DK283" i="3"/>
  <c r="BY283" i="3"/>
  <c r="CA283" i="3" s="1"/>
  <c r="CI283" i="3"/>
  <c r="BO283" i="3"/>
  <c r="DC283" i="3"/>
  <c r="BE284" i="3"/>
  <c r="G380" i="26"/>
  <c r="BM283" i="3"/>
  <c r="AV284" i="3"/>
  <c r="CS283" i="3"/>
  <c r="AT263" i="27"/>
  <c r="I211" i="26"/>
  <c r="I155" i="26" s="1"/>
  <c r="A449" i="26"/>
  <c r="CC276" i="21"/>
  <c r="CC268" i="21"/>
  <c r="CE264" i="21"/>
  <c r="CH269" i="21"/>
  <c r="CH265" i="21"/>
  <c r="CC289" i="21"/>
  <c r="S9" i="9"/>
  <c r="S12" i="9" s="1"/>
  <c r="T4" i="9" s="1"/>
  <c r="CE291" i="21"/>
  <c r="CC274" i="21"/>
  <c r="CH286" i="21"/>
  <c r="CE276" i="21"/>
  <c r="CC292" i="21"/>
  <c r="CH276" i="21"/>
  <c r="CH288" i="21"/>
  <c r="CH267" i="21"/>
  <c r="CH281" i="21"/>
  <c r="CH275" i="21"/>
  <c r="CE288" i="21"/>
  <c r="CC271" i="21"/>
  <c r="CE282" i="21"/>
  <c r="CE292" i="21"/>
  <c r="CH271" i="21"/>
  <c r="CC267" i="21"/>
  <c r="CH284" i="21"/>
  <c r="CH266" i="21"/>
  <c r="CE290" i="21"/>
  <c r="CE283" i="21"/>
  <c r="CE281" i="21"/>
  <c r="CE277" i="21"/>
  <c r="CE280" i="21"/>
  <c r="CC278" i="21"/>
  <c r="CC284" i="21"/>
  <c r="CC265" i="21"/>
  <c r="CC288" i="21"/>
  <c r="CH264" i="21"/>
  <c r="CC273" i="21"/>
  <c r="CH272" i="21"/>
  <c r="CC279" i="21"/>
  <c r="CE294" i="21"/>
  <c r="CH283" i="21"/>
  <c r="CH268" i="21"/>
  <c r="CH292" i="21"/>
  <c r="CE266" i="21"/>
  <c r="CH282" i="21"/>
  <c r="CE278" i="21"/>
  <c r="CE286" i="21"/>
  <c r="CC287" i="21"/>
  <c r="CC272" i="21"/>
  <c r="CH273" i="21"/>
  <c r="CH278" i="21"/>
  <c r="CH291" i="21"/>
  <c r="CH274" i="21"/>
  <c r="CH270" i="21"/>
  <c r="CC294" i="21"/>
  <c r="CC291" i="21"/>
  <c r="CC280" i="21"/>
  <c r="CE268" i="21"/>
  <c r="DB259" i="21"/>
  <c r="DA279" i="21" s="1"/>
  <c r="CC286" i="21"/>
  <c r="CE289" i="21"/>
  <c r="CE285" i="21"/>
  <c r="CC270" i="21"/>
  <c r="CC285" i="21"/>
  <c r="CE273" i="21"/>
  <c r="CE271" i="21"/>
  <c r="CH290" i="21"/>
  <c r="CH277" i="21"/>
  <c r="CH280" i="21"/>
  <c r="CC269" i="21"/>
  <c r="CE275" i="21"/>
  <c r="CE279" i="21"/>
  <c r="CH293" i="21"/>
  <c r="CC282" i="21"/>
  <c r="CC264" i="21"/>
  <c r="CC277" i="21"/>
  <c r="CC281" i="21"/>
  <c r="CH289" i="21"/>
  <c r="CC275" i="21"/>
  <c r="CE272" i="21"/>
  <c r="CE267" i="21"/>
  <c r="CE265" i="21"/>
  <c r="CC266" i="21"/>
  <c r="CH287" i="21"/>
  <c r="CH285" i="21"/>
  <c r="CC290" i="21"/>
  <c r="CH294" i="21"/>
  <c r="CE287" i="21"/>
  <c r="CC293" i="21"/>
  <c r="CE270" i="21"/>
  <c r="CE293" i="21"/>
  <c r="CE269" i="21"/>
  <c r="CE274" i="21"/>
  <c r="CH279" i="21"/>
  <c r="CE284" i="21"/>
  <c r="CF260" i="22"/>
  <c r="CC285" i="22" s="1"/>
  <c r="DB260" i="22"/>
  <c r="DA295" i="20"/>
  <c r="G307" i="21"/>
  <c r="F299" i="22"/>
  <c r="CL282" i="3" l="1"/>
  <c r="CK282" i="3"/>
  <c r="CJ283" i="3"/>
  <c r="CS284" i="3"/>
  <c r="BM284" i="3"/>
  <c r="AV285" i="3"/>
  <c r="DM283" i="3"/>
  <c r="DN283" i="3"/>
  <c r="BY284" i="3"/>
  <c r="CA284" i="3" s="1"/>
  <c r="BO284" i="3"/>
  <c r="BE285" i="3"/>
  <c r="DC284" i="3"/>
  <c r="DK284" i="3"/>
  <c r="CI284" i="3"/>
  <c r="CJ284" i="3" s="1"/>
  <c r="CL284" i="3" s="1"/>
  <c r="CD284" i="3"/>
  <c r="CF284" i="3" s="1"/>
  <c r="DE283" i="3"/>
  <c r="DF283" i="3"/>
  <c r="DG283" i="3"/>
  <c r="DO283" i="3"/>
  <c r="BQ284" i="3"/>
  <c r="CY284" i="3"/>
  <c r="CT284" i="3"/>
  <c r="CW284" i="3"/>
  <c r="BB285" i="3"/>
  <c r="BN284" i="3"/>
  <c r="BS284" i="3"/>
  <c r="I202" i="27"/>
  <c r="AT264" i="27"/>
  <c r="AT265" i="27" s="1"/>
  <c r="AT266" i="27" s="1"/>
  <c r="AT267" i="27" s="1"/>
  <c r="AT268" i="27" s="1"/>
  <c r="AT269" i="27" s="1"/>
  <c r="AT270" i="27" s="1"/>
  <c r="AT271" i="27" s="1"/>
  <c r="AT272" i="27" s="1"/>
  <c r="AT273" i="27" s="1"/>
  <c r="AT274" i="27" s="1"/>
  <c r="AT275" i="27" s="1"/>
  <c r="AT276" i="27" s="1"/>
  <c r="AT277" i="27" s="1"/>
  <c r="AT278" i="27" s="1"/>
  <c r="AT279" i="27" s="1"/>
  <c r="AT280" i="27" s="1"/>
  <c r="AT281" i="27" s="1"/>
  <c r="AT282" i="27" s="1"/>
  <c r="AT283" i="27" s="1"/>
  <c r="AT284" i="27" s="1"/>
  <c r="AT285" i="27" s="1"/>
  <c r="AT286" i="27" s="1"/>
  <c r="AT287" i="27" s="1"/>
  <c r="AT288" i="27" s="1"/>
  <c r="AT289" i="27" s="1"/>
  <c r="AT290" i="27" s="1"/>
  <c r="AT291" i="27" s="1"/>
  <c r="AT292" i="27" s="1"/>
  <c r="AT293" i="27" s="1"/>
  <c r="AT294" i="27" s="1"/>
  <c r="AT295" i="27" s="1"/>
  <c r="T5" i="9"/>
  <c r="T6" i="9"/>
  <c r="DA273" i="21"/>
  <c r="DD294" i="21"/>
  <c r="CE276" i="22"/>
  <c r="CC275" i="22"/>
  <c r="CH285" i="22"/>
  <c r="CH288" i="22"/>
  <c r="CC287" i="22"/>
  <c r="CE274" i="22"/>
  <c r="CH277" i="22"/>
  <c r="CC280" i="22"/>
  <c r="CE275" i="22"/>
  <c r="CE269" i="22"/>
  <c r="CE272" i="22"/>
  <c r="CH283" i="22"/>
  <c r="CH269" i="22"/>
  <c r="CC268" i="22"/>
  <c r="CH274" i="22"/>
  <c r="CC284" i="22"/>
  <c r="CC277" i="22"/>
  <c r="CC294" i="22"/>
  <c r="CC281" i="22"/>
  <c r="CH272" i="22"/>
  <c r="CE289" i="22"/>
  <c r="CH284" i="22"/>
  <c r="CH271" i="22"/>
  <c r="CH287" i="22"/>
  <c r="CH270" i="22"/>
  <c r="CC272" i="22"/>
  <c r="CH290" i="22"/>
  <c r="CE287" i="22"/>
  <c r="CH291" i="22"/>
  <c r="CC271" i="22"/>
  <c r="CE281" i="22"/>
  <c r="CC282" i="22"/>
  <c r="CC273" i="22"/>
  <c r="CE285" i="22"/>
  <c r="CC293" i="22"/>
  <c r="CE267" i="22"/>
  <c r="CC290" i="22"/>
  <c r="CE266" i="22"/>
  <c r="CC267" i="22"/>
  <c r="CH279" i="22"/>
  <c r="CC279" i="22"/>
  <c r="CC276" i="22"/>
  <c r="CC288" i="22"/>
  <c r="CC289" i="22"/>
  <c r="CE283" i="22"/>
  <c r="DB259" i="22"/>
  <c r="DD276" i="22" s="1"/>
  <c r="CE292" i="22"/>
  <c r="CH294" i="22"/>
  <c r="CH293" i="22"/>
  <c r="CH265" i="22"/>
  <c r="CH273" i="22"/>
  <c r="CC265" i="22"/>
  <c r="CC292" i="22"/>
  <c r="CE268" i="22"/>
  <c r="CH280" i="22"/>
  <c r="CH292" i="22"/>
  <c r="CE284" i="22"/>
  <c r="CH286" i="22"/>
  <c r="CE277" i="22"/>
  <c r="CE278" i="22"/>
  <c r="CH289" i="22"/>
  <c r="CE270" i="22"/>
  <c r="CE293" i="22"/>
  <c r="CE273" i="22"/>
  <c r="CH266" i="22"/>
  <c r="CC278" i="22"/>
  <c r="CE286" i="22"/>
  <c r="DD267" i="21"/>
  <c r="DD291" i="21"/>
  <c r="DA266" i="21"/>
  <c r="DA275" i="21"/>
  <c r="CH264" i="22"/>
  <c r="CH268" i="22"/>
  <c r="DD265" i="21"/>
  <c r="DB270" i="21"/>
  <c r="CE288" i="22"/>
  <c r="CH275" i="22"/>
  <c r="DD271" i="21"/>
  <c r="CE271" i="22"/>
  <c r="CE265" i="22"/>
  <c r="CC270" i="22"/>
  <c r="CC283" i="22"/>
  <c r="CE290" i="22"/>
  <c r="CE280" i="22"/>
  <c r="CH267" i="22"/>
  <c r="CH282" i="22"/>
  <c r="CC264" i="22"/>
  <c r="CC269" i="22"/>
  <c r="CE294" i="22"/>
  <c r="CE291" i="22"/>
  <c r="DD275" i="21"/>
  <c r="CC266" i="22"/>
  <c r="DA274" i="21"/>
  <c r="DD270" i="21"/>
  <c r="DD272" i="21"/>
  <c r="DB282" i="21"/>
  <c r="DB288" i="21"/>
  <c r="DD266" i="21"/>
  <c r="CC274" i="22"/>
  <c r="DA265" i="21"/>
  <c r="DB286" i="21"/>
  <c r="CH278" i="22"/>
  <c r="CC286" i="22"/>
  <c r="CH276" i="22"/>
  <c r="CE282" i="22"/>
  <c r="CH281" i="22"/>
  <c r="CE279" i="22"/>
  <c r="CC291" i="22"/>
  <c r="CE264" i="22"/>
  <c r="DB292" i="21"/>
  <c r="DB265" i="21"/>
  <c r="DD277" i="21"/>
  <c r="DA269" i="21"/>
  <c r="DD274" i="21"/>
  <c r="DA278" i="21"/>
  <c r="DJ261" i="21"/>
  <c r="DD276" i="21"/>
  <c r="DA289" i="21"/>
  <c r="DD292" i="21"/>
  <c r="DB274" i="21"/>
  <c r="DD290" i="21"/>
  <c r="DB273" i="21"/>
  <c r="DB275" i="21"/>
  <c r="DB276" i="21"/>
  <c r="DB284" i="21"/>
  <c r="DA283" i="21"/>
  <c r="DA294" i="21"/>
  <c r="DD285" i="21"/>
  <c r="DA280" i="21"/>
  <c r="DD281" i="21"/>
  <c r="DB279" i="21"/>
  <c r="DD293" i="21"/>
  <c r="DA284" i="21"/>
  <c r="DD268" i="21"/>
  <c r="DB294" i="21"/>
  <c r="DB269" i="21"/>
  <c r="DA264" i="21"/>
  <c r="DA288" i="21"/>
  <c r="DB289" i="21"/>
  <c r="DD279" i="21"/>
  <c r="DA270" i="21"/>
  <c r="DB264" i="21"/>
  <c r="DA282" i="21"/>
  <c r="DA277" i="21"/>
  <c r="DD287" i="21"/>
  <c r="DA271" i="21"/>
  <c r="DD284" i="21"/>
  <c r="DB272" i="21"/>
  <c r="DD280" i="21"/>
  <c r="DB266" i="21"/>
  <c r="DB268" i="21"/>
  <c r="DB280" i="21"/>
  <c r="DB285" i="21"/>
  <c r="DA268" i="21"/>
  <c r="DD283" i="21"/>
  <c r="DB267" i="21"/>
  <c r="DB291" i="21"/>
  <c r="DA293" i="21"/>
  <c r="DB287" i="21"/>
  <c r="DB293" i="21"/>
  <c r="DB290" i="21"/>
  <c r="DA285" i="21"/>
  <c r="DA267" i="21"/>
  <c r="DA281" i="21"/>
  <c r="DB261" i="21"/>
  <c r="DB283" i="21"/>
  <c r="DB277" i="21"/>
  <c r="DA287" i="21"/>
  <c r="DA292" i="21"/>
  <c r="DB278" i="21"/>
  <c r="DD286" i="21"/>
  <c r="DD278" i="21"/>
  <c r="DD289" i="21"/>
  <c r="DA291" i="21"/>
  <c r="DD269" i="21"/>
  <c r="DB281" i="21"/>
  <c r="DD273" i="21"/>
  <c r="DA276" i="21"/>
  <c r="DA290" i="21"/>
  <c r="DA272" i="21"/>
  <c r="DD282" i="21"/>
  <c r="DA286" i="21"/>
  <c r="DD264" i="21"/>
  <c r="DB271" i="21"/>
  <c r="DD288" i="21"/>
  <c r="CH295" i="21"/>
  <c r="CH298" i="21" s="1"/>
  <c r="F307" i="22"/>
  <c r="H36" i="22"/>
  <c r="G36" i="22" s="1"/>
  <c r="CM284" i="3" l="1"/>
  <c r="CK284" i="3"/>
  <c r="CK283" i="3"/>
  <c r="CM283" i="3"/>
  <c r="CL283" i="3"/>
  <c r="BE286" i="3"/>
  <c r="BY285" i="3"/>
  <c r="CA285" i="3" s="1"/>
  <c r="CI285" i="3"/>
  <c r="DC285" i="3"/>
  <c r="CD285" i="3"/>
  <c r="CF285" i="3" s="1"/>
  <c r="DK285" i="3"/>
  <c r="BO285" i="3"/>
  <c r="BQ285" i="3"/>
  <c r="BB286" i="3"/>
  <c r="CW285" i="3"/>
  <c r="CY285" i="3"/>
  <c r="BN285" i="3"/>
  <c r="BS285" i="3"/>
  <c r="CT285" i="3"/>
  <c r="G380" i="27"/>
  <c r="CS285" i="3"/>
  <c r="AV286" i="3"/>
  <c r="BM285" i="3"/>
  <c r="AT263" i="28"/>
  <c r="I211" i="27"/>
  <c r="I155" i="27" s="1"/>
  <c r="A449" i="27"/>
  <c r="DN284" i="3"/>
  <c r="DM284" i="3"/>
  <c r="DO284" i="3"/>
  <c r="DG284" i="3"/>
  <c r="DF284" i="3"/>
  <c r="DE284" i="3"/>
  <c r="DB271" i="22"/>
  <c r="DD275" i="22"/>
  <c r="CF260" i="23"/>
  <c r="DB260" i="23"/>
  <c r="DA264" i="22"/>
  <c r="DB294" i="22"/>
  <c r="DA277" i="22"/>
  <c r="DA293" i="22"/>
  <c r="DA285" i="22"/>
  <c r="DA274" i="22"/>
  <c r="DD294" i="22"/>
  <c r="DB278" i="22"/>
  <c r="DD271" i="22"/>
  <c r="DA284" i="22"/>
  <c r="DA286" i="22"/>
  <c r="DA279" i="22"/>
  <c r="DA275" i="22"/>
  <c r="DA276" i="22"/>
  <c r="DB289" i="22"/>
  <c r="DD291" i="22"/>
  <c r="DB272" i="22"/>
  <c r="DA280" i="22"/>
  <c r="DB274" i="22"/>
  <c r="DB282" i="22"/>
  <c r="DD264" i="22"/>
  <c r="DB261" i="22"/>
  <c r="DB268" i="22"/>
  <c r="DA268" i="22"/>
  <c r="DB291" i="22"/>
  <c r="DD272" i="22"/>
  <c r="DA281" i="22"/>
  <c r="DD292" i="22"/>
  <c r="DD267" i="22"/>
  <c r="DD287" i="22"/>
  <c r="DD285" i="22"/>
  <c r="DD293" i="22"/>
  <c r="DD268" i="22"/>
  <c r="DD265" i="22"/>
  <c r="DB265" i="22"/>
  <c r="DD273" i="22"/>
  <c r="DA265" i="22"/>
  <c r="DB273" i="22"/>
  <c r="DB280" i="22"/>
  <c r="DB290" i="22"/>
  <c r="DA282" i="22"/>
  <c r="DA292" i="22"/>
  <c r="DA290" i="22"/>
  <c r="DA266" i="22"/>
  <c r="DA288" i="22"/>
  <c r="DB276" i="22"/>
  <c r="DD266" i="22"/>
  <c r="DB285" i="22"/>
  <c r="DB267" i="22"/>
  <c r="DB275" i="22"/>
  <c r="DD284" i="22"/>
  <c r="DA267" i="22"/>
  <c r="DD290" i="22"/>
  <c r="DB277" i="22"/>
  <c r="DD278" i="22"/>
  <c r="DD277" i="22"/>
  <c r="DJ261" i="22"/>
  <c r="DD283" i="22"/>
  <c r="DA294" i="22"/>
  <c r="DB270" i="22"/>
  <c r="DD274" i="22"/>
  <c r="DA287" i="22"/>
  <c r="DA271" i="22"/>
  <c r="DD270" i="22"/>
  <c r="DB288" i="22"/>
  <c r="DA270" i="22"/>
  <c r="DB264" i="22"/>
  <c r="DA272" i="22"/>
  <c r="DA278" i="22"/>
  <c r="DB292" i="22"/>
  <c r="DA283" i="22"/>
  <c r="DD280" i="22"/>
  <c r="DD289" i="22"/>
  <c r="DD288" i="22"/>
  <c r="DB287" i="22"/>
  <c r="DB281" i="22"/>
  <c r="DB286" i="22"/>
  <c r="DA269" i="22"/>
  <c r="DB266" i="22"/>
  <c r="DD286" i="22"/>
  <c r="DB284" i="22"/>
  <c r="DD281" i="22"/>
  <c r="DB269" i="22"/>
  <c r="DA289" i="22"/>
  <c r="DA273" i="22"/>
  <c r="DA291" i="22"/>
  <c r="DD269" i="22"/>
  <c r="DD279" i="22"/>
  <c r="DD282" i="22"/>
  <c r="DB293" i="22"/>
  <c r="DB279" i="22"/>
  <c r="DB283" i="22"/>
  <c r="CH295" i="22"/>
  <c r="CH298" i="22" s="1"/>
  <c r="DA295" i="21"/>
  <c r="G307" i="22"/>
  <c r="F299" i="23"/>
  <c r="CJ285" i="3" l="1"/>
  <c r="DN285" i="3"/>
  <c r="DM285" i="3"/>
  <c r="DO285" i="3"/>
  <c r="DE285" i="3"/>
  <c r="DF285" i="3"/>
  <c r="DG285" i="3"/>
  <c r="AT264" i="28"/>
  <c r="AT265" i="28" s="1"/>
  <c r="AT266" i="28" s="1"/>
  <c r="AT267" i="28" s="1"/>
  <c r="AT268" i="28" s="1"/>
  <c r="AT269" i="28" s="1"/>
  <c r="AT270" i="28" s="1"/>
  <c r="AT271" i="28" s="1"/>
  <c r="AT272" i="28" s="1"/>
  <c r="AT273" i="28" s="1"/>
  <c r="AT274" i="28" s="1"/>
  <c r="AT275" i="28" s="1"/>
  <c r="AT276" i="28" s="1"/>
  <c r="AT277" i="28" s="1"/>
  <c r="AT278" i="28" s="1"/>
  <c r="AT279" i="28" s="1"/>
  <c r="AT280" i="28" s="1"/>
  <c r="AT281" i="28" s="1"/>
  <c r="AT282" i="28" s="1"/>
  <c r="AT283" i="28" s="1"/>
  <c r="AT284" i="28" s="1"/>
  <c r="AT285" i="28" s="1"/>
  <c r="AT286" i="28" s="1"/>
  <c r="AT287" i="28" s="1"/>
  <c r="AT288" i="28" s="1"/>
  <c r="AT289" i="28" s="1"/>
  <c r="AT290" i="28" s="1"/>
  <c r="AT291" i="28" s="1"/>
  <c r="AT292" i="28" s="1"/>
  <c r="AT293" i="28" s="1"/>
  <c r="AT294" i="28" s="1"/>
  <c r="AT295" i="28" s="1"/>
  <c r="I202" i="28"/>
  <c r="AV287" i="3"/>
  <c r="CS286" i="3"/>
  <c r="BM286" i="3"/>
  <c r="BB287" i="3"/>
  <c r="CY286" i="3"/>
  <c r="BS286" i="3"/>
  <c r="CT286" i="3"/>
  <c r="BQ286" i="3"/>
  <c r="BN286" i="3"/>
  <c r="CW286" i="3"/>
  <c r="CI286" i="3"/>
  <c r="CJ286" i="3" s="1"/>
  <c r="CL286" i="3" s="1"/>
  <c r="DK286" i="3"/>
  <c r="BO286" i="3"/>
  <c r="BY286" i="3"/>
  <c r="CA286" i="3" s="1"/>
  <c r="DC286" i="3"/>
  <c r="BE287" i="3"/>
  <c r="CD286" i="3"/>
  <c r="CF286" i="3" s="1"/>
  <c r="CC286" i="23"/>
  <c r="CC278" i="23"/>
  <c r="CE285" i="23"/>
  <c r="CE290" i="23"/>
  <c r="CH275" i="23"/>
  <c r="CH278" i="23"/>
  <c r="CH276" i="23"/>
  <c r="CC291" i="23"/>
  <c r="CH284" i="23"/>
  <c r="CE287" i="23"/>
  <c r="CH291" i="23"/>
  <c r="CE284" i="23"/>
  <c r="CH288" i="23"/>
  <c r="DB259" i="23"/>
  <c r="DJ261" i="23" s="1"/>
  <c r="CH294" i="23"/>
  <c r="CC276" i="23"/>
  <c r="CE276" i="23"/>
  <c r="CC285" i="23"/>
  <c r="CE289" i="23"/>
  <c r="CE277" i="23"/>
  <c r="CE283" i="23"/>
  <c r="CH290" i="23"/>
  <c r="CC292" i="23"/>
  <c r="CH289" i="23"/>
  <c r="CC277" i="23"/>
  <c r="CH292" i="23"/>
  <c r="CC279" i="23"/>
  <c r="CE275" i="23"/>
  <c r="CC294" i="23"/>
  <c r="CC290" i="23"/>
  <c r="CC289" i="23"/>
  <c r="CC287" i="23"/>
  <c r="CE279" i="23"/>
  <c r="CH285" i="23"/>
  <c r="CE278" i="23"/>
  <c r="CH293" i="23"/>
  <c r="CE292" i="23"/>
  <c r="CE286" i="23"/>
  <c r="CE294" i="23"/>
  <c r="CC275" i="23"/>
  <c r="CC293" i="23"/>
  <c r="CH283" i="23"/>
  <c r="CH279" i="23"/>
  <c r="CE291" i="23"/>
  <c r="CC283" i="23"/>
  <c r="CE293" i="23"/>
  <c r="CC288" i="23"/>
  <c r="CH287" i="23"/>
  <c r="CH286" i="23"/>
  <c r="CC284" i="23"/>
  <c r="CH277" i="23"/>
  <c r="CE288" i="23"/>
  <c r="DA295" i="22"/>
  <c r="CM286" i="3" l="1"/>
  <c r="CK286" i="3"/>
  <c r="CK285" i="3"/>
  <c r="CL285" i="3"/>
  <c r="CM285" i="3"/>
  <c r="DO286" i="3"/>
  <c r="DF286" i="3"/>
  <c r="DE286" i="3"/>
  <c r="DG286" i="3"/>
  <c r="I211" i="28"/>
  <c r="I155" i="28" s="1"/>
  <c r="AT263" i="29"/>
  <c r="A449" i="28"/>
  <c r="DM286" i="3"/>
  <c r="DN286" i="3"/>
  <c r="BN287" i="3"/>
  <c r="BQ287" i="3"/>
  <c r="BB288" i="3"/>
  <c r="BS287" i="3"/>
  <c r="CY287" i="3"/>
  <c r="CT287" i="3"/>
  <c r="CW287" i="3"/>
  <c r="CS287" i="3"/>
  <c r="AV288" i="3"/>
  <c r="BM287" i="3"/>
  <c r="BY287" i="3"/>
  <c r="CA287" i="3" s="1"/>
  <c r="CD287" i="3"/>
  <c r="CF287" i="3" s="1"/>
  <c r="DK287" i="3"/>
  <c r="BO287" i="3"/>
  <c r="BE288" i="3"/>
  <c r="DC287" i="3"/>
  <c r="CI287" i="3"/>
  <c r="G380" i="28"/>
  <c r="DA285" i="23"/>
  <c r="DD290" i="23"/>
  <c r="DD291" i="23"/>
  <c r="DB283" i="23"/>
  <c r="DB278" i="23"/>
  <c r="DB289" i="23"/>
  <c r="DA289" i="23"/>
  <c r="DD287" i="23"/>
  <c r="DD284" i="23"/>
  <c r="DB286" i="23"/>
  <c r="DB275" i="23"/>
  <c r="DD277" i="23"/>
  <c r="DB277" i="23"/>
  <c r="DD278" i="23"/>
  <c r="DD283" i="23"/>
  <c r="DD294" i="23"/>
  <c r="DB276" i="23"/>
  <c r="DD276" i="23"/>
  <c r="DB292" i="23"/>
  <c r="DA277" i="23"/>
  <c r="DA291" i="23"/>
  <c r="DD279" i="23"/>
  <c r="DA284" i="23"/>
  <c r="DA290" i="23"/>
  <c r="DB288" i="23"/>
  <c r="DB261" i="23"/>
  <c r="DB285" i="23"/>
  <c r="DB290" i="23"/>
  <c r="DB284" i="23"/>
  <c r="DD288" i="23"/>
  <c r="DA283" i="23"/>
  <c r="DD289" i="23"/>
  <c r="DD293" i="23"/>
  <c r="DB291" i="23"/>
  <c r="DA278" i="23"/>
  <c r="DD286" i="23"/>
  <c r="DD285" i="23"/>
  <c r="DA276" i="23"/>
  <c r="DA292" i="23"/>
  <c r="DA286" i="23"/>
  <c r="DA294" i="23"/>
  <c r="DB279" i="23"/>
  <c r="DB294" i="23"/>
  <c r="DD292" i="23"/>
  <c r="DA287" i="23"/>
  <c r="DB287" i="23"/>
  <c r="DA293" i="23"/>
  <c r="DA279" i="23"/>
  <c r="DA275" i="23"/>
  <c r="DB293" i="23"/>
  <c r="DA288" i="23"/>
  <c r="DD275" i="23"/>
  <c r="CJ287" i="3" l="1"/>
  <c r="DM287" i="3"/>
  <c r="DN287" i="3"/>
  <c r="AT264" i="29"/>
  <c r="AT265" i="29" s="1"/>
  <c r="AT266" i="29" s="1"/>
  <c r="AT267" i="29" s="1"/>
  <c r="AT268" i="29" s="1"/>
  <c r="AT269" i="29" s="1"/>
  <c r="AT270" i="29" s="1"/>
  <c r="AT271" i="29" s="1"/>
  <c r="AT272" i="29" s="1"/>
  <c r="AT273" i="29" s="1"/>
  <c r="AT274" i="29" s="1"/>
  <c r="AT275" i="29" s="1"/>
  <c r="AT276" i="29" s="1"/>
  <c r="AT277" i="29" s="1"/>
  <c r="AT278" i="29" s="1"/>
  <c r="AT279" i="29" s="1"/>
  <c r="AT280" i="29" s="1"/>
  <c r="AT281" i="29" s="1"/>
  <c r="AT282" i="29" s="1"/>
  <c r="AT283" i="29" s="1"/>
  <c r="AT284" i="29" s="1"/>
  <c r="AT285" i="29" s="1"/>
  <c r="AT286" i="29" s="1"/>
  <c r="AT287" i="29" s="1"/>
  <c r="AT288" i="29" s="1"/>
  <c r="AT289" i="29" s="1"/>
  <c r="AT290" i="29" s="1"/>
  <c r="AT291" i="29" s="1"/>
  <c r="AT292" i="29" s="1"/>
  <c r="AT293" i="29" s="1"/>
  <c r="AT294" i="29" s="1"/>
  <c r="AT295" i="29" s="1"/>
  <c r="I202" i="29"/>
  <c r="BS288" i="3"/>
  <c r="CW288" i="3"/>
  <c r="CY288" i="3"/>
  <c r="CT288" i="3"/>
  <c r="BQ288" i="3"/>
  <c r="BN288" i="3"/>
  <c r="BB289" i="3"/>
  <c r="CS288" i="3"/>
  <c r="BM288" i="3"/>
  <c r="AV289" i="3"/>
  <c r="DE287" i="3"/>
  <c r="DF287" i="3"/>
  <c r="DG287" i="3"/>
  <c r="DO287" i="3"/>
  <c r="DC288" i="3"/>
  <c r="BE289" i="3"/>
  <c r="CD288" i="3"/>
  <c r="CF288" i="3" s="1"/>
  <c r="BO288" i="3"/>
  <c r="BY288" i="3"/>
  <c r="CA288" i="3" s="1"/>
  <c r="DK288" i="3"/>
  <c r="CI288" i="3"/>
  <c r="CJ288" i="3" l="1"/>
  <c r="CK287" i="3"/>
  <c r="CM287" i="3"/>
  <c r="CL287" i="3"/>
  <c r="BM289" i="3"/>
  <c r="AV290" i="3"/>
  <c r="CS289" i="3"/>
  <c r="BE290" i="3"/>
  <c r="CI289" i="3"/>
  <c r="CJ289" i="3" s="1"/>
  <c r="CL289" i="3" s="1"/>
  <c r="DC289" i="3"/>
  <c r="BY289" i="3"/>
  <c r="CA289" i="3" s="1"/>
  <c r="CD289" i="3"/>
  <c r="CF289" i="3" s="1"/>
  <c r="BO289" i="3"/>
  <c r="DK289" i="3"/>
  <c r="DO288" i="3"/>
  <c r="DG288" i="3"/>
  <c r="DF288" i="3"/>
  <c r="DE288" i="3"/>
  <c r="G380" i="29"/>
  <c r="CW289" i="3"/>
  <c r="BB290" i="3"/>
  <c r="BQ289" i="3"/>
  <c r="CT289" i="3"/>
  <c r="BN289" i="3"/>
  <c r="CY289" i="3"/>
  <c r="BS289" i="3"/>
  <c r="A449" i="29"/>
  <c r="I211" i="29"/>
  <c r="I155" i="29" s="1"/>
  <c r="C13" i="15"/>
  <c r="DM288" i="3"/>
  <c r="DN288" i="3"/>
  <c r="CK289" i="3" l="1"/>
  <c r="CM289" i="3"/>
  <c r="CK288" i="3"/>
  <c r="CL288" i="3"/>
  <c r="CM288" i="3"/>
  <c r="DO289" i="3"/>
  <c r="DE289" i="3"/>
  <c r="DF289" i="3"/>
  <c r="DG289" i="3"/>
  <c r="DC290" i="3"/>
  <c r="BY290" i="3"/>
  <c r="CA290" i="3" s="1"/>
  <c r="BE291" i="3"/>
  <c r="DK290" i="3"/>
  <c r="CI290" i="3"/>
  <c r="CJ290" i="3" s="1"/>
  <c r="CM290" i="3" s="1"/>
  <c r="CD290" i="3"/>
  <c r="CF290" i="3" s="1"/>
  <c r="BO290" i="3"/>
  <c r="DN289" i="3"/>
  <c r="DM289" i="3"/>
  <c r="AV291" i="3"/>
  <c r="BM290" i="3"/>
  <c r="CS290" i="3"/>
  <c r="CT290" i="3"/>
  <c r="CW290" i="3"/>
  <c r="CY290" i="3"/>
  <c r="BQ290" i="3"/>
  <c r="BS290" i="3"/>
  <c r="BB291" i="3"/>
  <c r="BN290" i="3"/>
  <c r="CL290" i="3" l="1"/>
  <c r="CK290" i="3"/>
  <c r="BY291" i="3"/>
  <c r="CA291" i="3" s="1"/>
  <c r="BE292" i="3"/>
  <c r="CI291" i="3"/>
  <c r="CJ291" i="3" s="1"/>
  <c r="CK291" i="3" s="1"/>
  <c r="DK291" i="3"/>
  <c r="BO291" i="3"/>
  <c r="DC291" i="3"/>
  <c r="CD291" i="3"/>
  <c r="CF291" i="3" s="1"/>
  <c r="BS291" i="3"/>
  <c r="CY291" i="3"/>
  <c r="BB292" i="3"/>
  <c r="BN291" i="3"/>
  <c r="CT291" i="3"/>
  <c r="BQ291" i="3"/>
  <c r="CW291" i="3"/>
  <c r="AV292" i="3"/>
  <c r="CS291" i="3"/>
  <c r="BM291" i="3"/>
  <c r="DF290" i="3"/>
  <c r="DE290" i="3"/>
  <c r="DO290" i="3"/>
  <c r="DG290" i="3"/>
  <c r="DM290" i="3"/>
  <c r="DN290" i="3"/>
  <c r="CL291" i="3" l="1"/>
  <c r="CM291" i="3"/>
  <c r="BM292" i="3"/>
  <c r="AV293" i="3"/>
  <c r="CS292" i="3"/>
  <c r="DG291" i="3"/>
  <c r="DE291" i="3"/>
  <c r="DF291" i="3"/>
  <c r="DO291" i="3"/>
  <c r="DN291" i="3"/>
  <c r="DM291" i="3"/>
  <c r="BS292" i="3"/>
  <c r="CY292" i="3"/>
  <c r="BQ292" i="3"/>
  <c r="CW292" i="3"/>
  <c r="BB293" i="3"/>
  <c r="BN292" i="3"/>
  <c r="CT292" i="3"/>
  <c r="BO292" i="3"/>
  <c r="CI292" i="3"/>
  <c r="DK292" i="3"/>
  <c r="CD292" i="3"/>
  <c r="CF292" i="3" s="1"/>
  <c r="BE293" i="3"/>
  <c r="DC292" i="3"/>
  <c r="BY292" i="3"/>
  <c r="CA292" i="3" s="1"/>
  <c r="CJ292" i="3" l="1"/>
  <c r="DF292" i="3"/>
  <c r="DG292" i="3"/>
  <c r="DO292" i="3"/>
  <c r="DE292" i="3"/>
  <c r="CW293" i="3"/>
  <c r="BS293" i="3"/>
  <c r="BN293" i="3"/>
  <c r="CY293" i="3"/>
  <c r="BQ293" i="3"/>
  <c r="CT293" i="3"/>
  <c r="BB294" i="3"/>
  <c r="DK293" i="3"/>
  <c r="CD293" i="3"/>
  <c r="CF293" i="3" s="1"/>
  <c r="BY293" i="3"/>
  <c r="CA293" i="3" s="1"/>
  <c r="BO293" i="3"/>
  <c r="DC293" i="3"/>
  <c r="CI293" i="3"/>
  <c r="CJ293" i="3" s="1"/>
  <c r="CL293" i="3" s="1"/>
  <c r="BE294" i="3"/>
  <c r="DN292" i="3"/>
  <c r="DM292" i="3"/>
  <c r="BM293" i="3"/>
  <c r="AV294" i="3"/>
  <c r="CS293" i="3"/>
  <c r="CK293" i="3" l="1"/>
  <c r="CM293" i="3"/>
  <c r="CM292" i="3"/>
  <c r="CK292" i="3"/>
  <c r="CL292" i="3"/>
  <c r="DF293" i="3"/>
  <c r="DO293" i="3"/>
  <c r="DG293" i="3"/>
  <c r="DE293" i="3"/>
  <c r="AV295" i="3"/>
  <c r="AV263" i="19" s="1"/>
  <c r="AV264" i="19" s="1"/>
  <c r="CS294" i="3"/>
  <c r="BM294" i="3"/>
  <c r="DN293" i="3"/>
  <c r="DM293" i="3"/>
  <c r="BS294" i="3"/>
  <c r="CW294" i="3"/>
  <c r="BN294" i="3"/>
  <c r="CT294" i="3"/>
  <c r="BB295" i="3"/>
  <c r="BB263" i="19" s="1"/>
  <c r="BB264" i="19" s="1"/>
  <c r="BQ294" i="3"/>
  <c r="CY294" i="3"/>
  <c r="BO294" i="3"/>
  <c r="CI294" i="3"/>
  <c r="DK294" i="3"/>
  <c r="BY294" i="3"/>
  <c r="CA294" i="3" s="1"/>
  <c r="CA295" i="3" s="1"/>
  <c r="CA298" i="3" s="1"/>
  <c r="CD294" i="3"/>
  <c r="CF294" i="3" s="1"/>
  <c r="CF295" i="3" s="1"/>
  <c r="CF298" i="3" s="1"/>
  <c r="DC294" i="3"/>
  <c r="BE295" i="3"/>
  <c r="BE263" i="19" s="1"/>
  <c r="BE264" i="19" s="1"/>
  <c r="I378" i="3" l="1"/>
  <c r="H380" i="3" s="1"/>
  <c r="I380" i="3" s="1"/>
  <c r="O18" i="9" s="1"/>
  <c r="H375" i="3" s="1"/>
  <c r="I375" i="3" s="1"/>
  <c r="C32" i="18" s="1"/>
  <c r="CI295" i="3"/>
  <c r="CI298" i="3" s="1"/>
  <c r="CJ294" i="3"/>
  <c r="CD264" i="19"/>
  <c r="CF264" i="19" s="1"/>
  <c r="CI264" i="19"/>
  <c r="CJ264" i="19" s="1"/>
  <c r="CL264" i="19" s="1"/>
  <c r="BO264" i="19"/>
  <c r="DK264" i="19"/>
  <c r="BY264" i="19"/>
  <c r="CA264" i="19" s="1"/>
  <c r="BE265" i="19"/>
  <c r="DC264" i="19"/>
  <c r="DO294" i="3"/>
  <c r="DO295" i="3" s="1"/>
  <c r="DF294" i="3"/>
  <c r="DF295" i="3" s="1"/>
  <c r="DE294" i="3"/>
  <c r="DE295" i="3" s="1"/>
  <c r="DG294" i="3"/>
  <c r="DG295" i="3" s="1"/>
  <c r="BS264" i="19"/>
  <c r="BN264" i="19"/>
  <c r="CT264" i="19"/>
  <c r="CW264" i="19"/>
  <c r="CY264" i="19"/>
  <c r="BB265" i="19"/>
  <c r="BQ264" i="19"/>
  <c r="BM264" i="19"/>
  <c r="AV265" i="19"/>
  <c r="CS264" i="19"/>
  <c r="DN294" i="3"/>
  <c r="DN295" i="3" s="1"/>
  <c r="DM294" i="3"/>
  <c r="DM295" i="3" s="1"/>
  <c r="J155" i="3" l="1"/>
  <c r="H152" i="3"/>
  <c r="C37" i="18"/>
  <c r="M379" i="3"/>
  <c r="C35" i="18"/>
  <c r="CM264" i="19"/>
  <c r="CK264" i="19"/>
  <c r="P404" i="3"/>
  <c r="H407" i="3" s="1"/>
  <c r="I407" i="3" s="1"/>
  <c r="C64" i="18" s="1"/>
  <c r="I404" i="3"/>
  <c r="H432" i="3" s="1"/>
  <c r="I432" i="3" s="1"/>
  <c r="M435" i="3" s="1"/>
  <c r="J375" i="3"/>
  <c r="J376" i="3" s="1"/>
  <c r="J377" i="3" s="1"/>
  <c r="J378" i="3" s="1"/>
  <c r="CJ295" i="3"/>
  <c r="CM294" i="3"/>
  <c r="CM295" i="3" s="1"/>
  <c r="CL294" i="3"/>
  <c r="CL295" i="3" s="1"/>
  <c r="CK294" i="3"/>
  <c r="CK295" i="3" s="1"/>
  <c r="AV266" i="19"/>
  <c r="CS265" i="19"/>
  <c r="BM265" i="19"/>
  <c r="DO264" i="19"/>
  <c r="DG264" i="19"/>
  <c r="DE264" i="19"/>
  <c r="DF264" i="19"/>
  <c r="CD265" i="19"/>
  <c r="CF265" i="19" s="1"/>
  <c r="DK265" i="19"/>
  <c r="BY265" i="19"/>
  <c r="CA265" i="19" s="1"/>
  <c r="BO265" i="19"/>
  <c r="DC265" i="19"/>
  <c r="BE266" i="19"/>
  <c r="CI265" i="19"/>
  <c r="DM264" i="19"/>
  <c r="DN264" i="19"/>
  <c r="BS265" i="19"/>
  <c r="BQ265" i="19"/>
  <c r="CY265" i="19"/>
  <c r="BN265" i="19"/>
  <c r="CW265" i="19"/>
  <c r="BB266" i="19"/>
  <c r="CT265" i="19"/>
  <c r="C61" i="18" l="1"/>
  <c r="J379" i="3"/>
  <c r="J380" i="3" s="1"/>
  <c r="J381" i="3" s="1"/>
  <c r="J382" i="3" s="1"/>
  <c r="C89" i="18"/>
  <c r="P409" i="3"/>
  <c r="P408" i="3"/>
  <c r="H408" i="3"/>
  <c r="I408" i="3" s="1"/>
  <c r="C65" i="18" s="1"/>
  <c r="P413" i="3"/>
  <c r="P412" i="3"/>
  <c r="H411" i="3"/>
  <c r="I411" i="3" s="1"/>
  <c r="C68" i="18" s="1"/>
  <c r="H412" i="3"/>
  <c r="I412" i="3" s="1"/>
  <c r="C69" i="18" s="1"/>
  <c r="P407" i="3"/>
  <c r="H409" i="3"/>
  <c r="I409" i="3" s="1"/>
  <c r="C66" i="18" s="1"/>
  <c r="P411" i="3"/>
  <c r="CJ265" i="19"/>
  <c r="BE267" i="19"/>
  <c r="DC266" i="19"/>
  <c r="DK266" i="19"/>
  <c r="CD266" i="19"/>
  <c r="CF266" i="19" s="1"/>
  <c r="BY266" i="19"/>
  <c r="CA266" i="19" s="1"/>
  <c r="BO266" i="19"/>
  <c r="CI266" i="19"/>
  <c r="A157" i="3"/>
  <c r="A164" i="3"/>
  <c r="A167" i="3"/>
  <c r="A162" i="3"/>
  <c r="A165" i="3"/>
  <c r="DG265" i="19"/>
  <c r="DF265" i="19"/>
  <c r="DE265" i="19"/>
  <c r="DO265" i="19"/>
  <c r="BN266" i="19"/>
  <c r="BQ266" i="19"/>
  <c r="BB267" i="19"/>
  <c r="CW266" i="19"/>
  <c r="CT266" i="19"/>
  <c r="CY266" i="19"/>
  <c r="BS266" i="19"/>
  <c r="DM265" i="19"/>
  <c r="DN265" i="19"/>
  <c r="AV267" i="19"/>
  <c r="CS266" i="19"/>
  <c r="BM266" i="19"/>
  <c r="P427" i="3" l="1"/>
  <c r="P428" i="3" s="1"/>
  <c r="I428" i="3"/>
  <c r="C85" i="18" s="1"/>
  <c r="CL265" i="19"/>
  <c r="CM265" i="19"/>
  <c r="CJ266" i="19"/>
  <c r="CK265" i="19"/>
  <c r="A161" i="3"/>
  <c r="A163" i="3"/>
  <c r="F163" i="3"/>
  <c r="A175" i="3"/>
  <c r="A177" i="3"/>
  <c r="F169" i="3"/>
  <c r="A169" i="3"/>
  <c r="A172" i="3"/>
  <c r="CY267" i="19"/>
  <c r="BQ267" i="19"/>
  <c r="BB268" i="19"/>
  <c r="CT267" i="19"/>
  <c r="CW267" i="19"/>
  <c r="BN267" i="19"/>
  <c r="BS267" i="19"/>
  <c r="DN266" i="19"/>
  <c r="DM266" i="19"/>
  <c r="BM267" i="19"/>
  <c r="AV268" i="19"/>
  <c r="CS267" i="19"/>
  <c r="F165" i="3"/>
  <c r="F167" i="3" s="1"/>
  <c r="A166" i="3"/>
  <c r="DF266" i="19"/>
  <c r="DG266" i="19"/>
  <c r="DO266" i="19"/>
  <c r="DE266" i="19"/>
  <c r="A159" i="3"/>
  <c r="F159" i="3"/>
  <c r="DK267" i="19"/>
  <c r="DC267" i="19"/>
  <c r="BY267" i="19"/>
  <c r="CA267" i="19" s="1"/>
  <c r="CI267" i="19"/>
  <c r="CJ267" i="19" s="1"/>
  <c r="BE268" i="19"/>
  <c r="CD267" i="19"/>
  <c r="CF267" i="19" s="1"/>
  <c r="BO267" i="19"/>
  <c r="F158" i="3"/>
  <c r="A158" i="3"/>
  <c r="F160" i="3"/>
  <c r="A160" i="3"/>
  <c r="J383" i="3"/>
  <c r="I430" i="3" l="1"/>
  <c r="C87" i="18" s="1"/>
  <c r="G155" i="3"/>
  <c r="CM266" i="19"/>
  <c r="CK266" i="19"/>
  <c r="CM267" i="19"/>
  <c r="CK267" i="19"/>
  <c r="CL266" i="19"/>
  <c r="CL267" i="19"/>
  <c r="F170" i="3"/>
  <c r="F173" i="3" s="1"/>
  <c r="A170" i="3"/>
  <c r="DE267" i="19"/>
  <c r="DO267" i="19"/>
  <c r="DF267" i="19"/>
  <c r="DG267" i="19"/>
  <c r="A173" i="3"/>
  <c r="F180" i="3"/>
  <c r="A183" i="3"/>
  <c r="A188" i="3"/>
  <c r="A180" i="3"/>
  <c r="A186" i="3"/>
  <c r="DN267" i="19"/>
  <c r="DM267" i="19"/>
  <c r="A174" i="3"/>
  <c r="F174" i="3"/>
  <c r="F162" i="3"/>
  <c r="A176" i="3"/>
  <c r="F176" i="3"/>
  <c r="F178" i="3" s="1"/>
  <c r="A178" i="3"/>
  <c r="BM268" i="19"/>
  <c r="AV269" i="19"/>
  <c r="CS268" i="19"/>
  <c r="BS268" i="19"/>
  <c r="BQ268" i="19"/>
  <c r="BB269" i="19"/>
  <c r="CT268" i="19"/>
  <c r="CY268" i="19"/>
  <c r="CW268" i="19"/>
  <c r="BN268" i="19"/>
  <c r="A171" i="3"/>
  <c r="F171" i="3"/>
  <c r="F179" i="3"/>
  <c r="CI268" i="19"/>
  <c r="BO268" i="19"/>
  <c r="DK268" i="19"/>
  <c r="DC268" i="19"/>
  <c r="CD268" i="19"/>
  <c r="CF268" i="19" s="1"/>
  <c r="BE269" i="19"/>
  <c r="BY268" i="19"/>
  <c r="CA268" i="19" s="1"/>
  <c r="J384" i="3"/>
  <c r="I447" i="3" l="1"/>
  <c r="C104" i="18" s="1"/>
  <c r="F155" i="3"/>
  <c r="CJ268" i="19"/>
  <c r="CK268" i="19" s="1"/>
  <c r="DF268" i="19"/>
  <c r="DE268" i="19"/>
  <c r="DG268" i="19"/>
  <c r="DO268" i="19"/>
  <c r="BM269" i="19"/>
  <c r="CS269" i="19"/>
  <c r="AV270" i="19"/>
  <c r="DM268" i="19"/>
  <c r="DN268" i="19"/>
  <c r="A189" i="3"/>
  <c r="A187" i="3"/>
  <c r="F187" i="3"/>
  <c r="F189" i="3" s="1"/>
  <c r="BQ269" i="19"/>
  <c r="BN269" i="19"/>
  <c r="CY269" i="19"/>
  <c r="CW269" i="19"/>
  <c r="BS269" i="19"/>
  <c r="CT269" i="19"/>
  <c r="BB270" i="19"/>
  <c r="A185" i="3"/>
  <c r="F185" i="3"/>
  <c r="F181" i="3"/>
  <c r="F184" i="3" s="1"/>
  <c r="A181" i="3"/>
  <c r="BY269" i="19"/>
  <c r="CA269" i="19" s="1"/>
  <c r="DK269" i="19"/>
  <c r="DC269" i="19"/>
  <c r="BO269" i="19"/>
  <c r="CD269" i="19"/>
  <c r="CF269" i="19" s="1"/>
  <c r="CI269" i="19"/>
  <c r="BE270" i="19"/>
  <c r="A184" i="3"/>
  <c r="F182" i="3"/>
  <c r="A182" i="3"/>
  <c r="J385" i="3"/>
  <c r="CL268" i="19" l="1"/>
  <c r="CJ269" i="19"/>
  <c r="CM269" i="19" s="1"/>
  <c r="CM268" i="19"/>
  <c r="CS270" i="19"/>
  <c r="BM270" i="19"/>
  <c r="AV271" i="19"/>
  <c r="DF269" i="19"/>
  <c r="DE269" i="19"/>
  <c r="DO269" i="19"/>
  <c r="DG269" i="19"/>
  <c r="BQ270" i="19"/>
  <c r="BB271" i="19"/>
  <c r="CW270" i="19"/>
  <c r="BS270" i="19"/>
  <c r="BN270" i="19"/>
  <c r="CY270" i="19"/>
  <c r="CT270" i="19"/>
  <c r="DM269" i="19"/>
  <c r="DN269" i="19"/>
  <c r="BE271" i="19"/>
  <c r="CD270" i="19"/>
  <c r="CF270" i="19" s="1"/>
  <c r="CI270" i="19"/>
  <c r="DK270" i="19"/>
  <c r="DC270" i="19"/>
  <c r="BO270" i="19"/>
  <c r="BY270" i="19"/>
  <c r="CA270" i="19" s="1"/>
  <c r="J386" i="3"/>
  <c r="CL269" i="19" l="1"/>
  <c r="CK269" i="19"/>
  <c r="CJ270" i="19"/>
  <c r="CM270" i="19" s="1"/>
  <c r="DE270" i="19"/>
  <c r="DO270" i="19"/>
  <c r="DF270" i="19"/>
  <c r="DG270" i="19"/>
  <c r="DM270" i="19"/>
  <c r="DN270" i="19"/>
  <c r="BE272" i="19"/>
  <c r="CD271" i="19"/>
  <c r="CF271" i="19" s="1"/>
  <c r="CI271" i="19"/>
  <c r="CJ271" i="19" s="1"/>
  <c r="CL271" i="19" s="1"/>
  <c r="DC271" i="19"/>
  <c r="DK271" i="19"/>
  <c r="BO271" i="19"/>
  <c r="BY271" i="19"/>
  <c r="CA271" i="19" s="1"/>
  <c r="CS271" i="19"/>
  <c r="BM271" i="19"/>
  <c r="AV272" i="19"/>
  <c r="BQ271" i="19"/>
  <c r="BB272" i="19"/>
  <c r="CW271" i="19"/>
  <c r="BN271" i="19"/>
  <c r="CT271" i="19"/>
  <c r="CY271" i="19"/>
  <c r="BS271" i="19"/>
  <c r="J387" i="3"/>
  <c r="CM271" i="19" l="1"/>
  <c r="CK271" i="19"/>
  <c r="CK270" i="19"/>
  <c r="CL270" i="19"/>
  <c r="BE273" i="19"/>
  <c r="DK272" i="19"/>
  <c r="BO272" i="19"/>
  <c r="CI272" i="19"/>
  <c r="DC272" i="19"/>
  <c r="BY272" i="19"/>
  <c r="CA272" i="19" s="1"/>
  <c r="CD272" i="19"/>
  <c r="CF272" i="19" s="1"/>
  <c r="BN272" i="19"/>
  <c r="CW272" i="19"/>
  <c r="BQ272" i="19"/>
  <c r="BS272" i="19"/>
  <c r="BB273" i="19"/>
  <c r="CT272" i="19"/>
  <c r="CY272" i="19"/>
  <c r="DN271" i="19"/>
  <c r="DM271" i="19"/>
  <c r="DO271" i="19"/>
  <c r="DG271" i="19"/>
  <c r="DF271" i="19"/>
  <c r="DE271" i="19"/>
  <c r="CS272" i="19"/>
  <c r="BM272" i="19"/>
  <c r="AV273" i="19"/>
  <c r="J388" i="3"/>
  <c r="CJ272" i="19" l="1"/>
  <c r="CL272" i="19" s="1"/>
  <c r="BM273" i="19"/>
  <c r="CS273" i="19"/>
  <c r="AV274" i="19"/>
  <c r="DO272" i="19"/>
  <c r="DG272" i="19"/>
  <c r="DE272" i="19"/>
  <c r="DF272" i="19"/>
  <c r="BQ273" i="19"/>
  <c r="BB274" i="19"/>
  <c r="BN273" i="19"/>
  <c r="CY273" i="19"/>
  <c r="BS273" i="19"/>
  <c r="CW273" i="19"/>
  <c r="CT273" i="19"/>
  <c r="DM272" i="19"/>
  <c r="DN272" i="19"/>
  <c r="CI273" i="19"/>
  <c r="BY273" i="19"/>
  <c r="CA273" i="19" s="1"/>
  <c r="DC273" i="19"/>
  <c r="DK273" i="19"/>
  <c r="BE274" i="19"/>
  <c r="CD273" i="19"/>
  <c r="CF273" i="19" s="1"/>
  <c r="BO273" i="19"/>
  <c r="J389" i="3"/>
  <c r="CK272" i="19" l="1"/>
  <c r="CM272" i="19"/>
  <c r="CJ273" i="19"/>
  <c r="CK273" i="19" s="1"/>
  <c r="CI274" i="19"/>
  <c r="CJ274" i="19" s="1"/>
  <c r="CM274" i="19" s="1"/>
  <c r="BO274" i="19"/>
  <c r="DK274" i="19"/>
  <c r="BY274" i="19"/>
  <c r="CA274" i="19" s="1"/>
  <c r="DC274" i="19"/>
  <c r="CD274" i="19"/>
  <c r="CF274" i="19" s="1"/>
  <c r="BE275" i="19"/>
  <c r="DN273" i="19"/>
  <c r="DM273" i="19"/>
  <c r="DG273" i="19"/>
  <c r="DF273" i="19"/>
  <c r="DE273" i="19"/>
  <c r="DO273" i="19"/>
  <c r="BM274" i="19"/>
  <c r="AV275" i="19"/>
  <c r="CS274" i="19"/>
  <c r="BN274" i="19"/>
  <c r="CW274" i="19"/>
  <c r="BQ274" i="19"/>
  <c r="BB275" i="19"/>
  <c r="BS274" i="19"/>
  <c r="CT274" i="19"/>
  <c r="CY274" i="19"/>
  <c r="J390" i="3"/>
  <c r="CL273" i="19" l="1"/>
  <c r="CM273" i="19"/>
  <c r="CL274" i="19"/>
  <c r="CK274" i="19"/>
  <c r="CS275" i="19"/>
  <c r="AV276" i="19"/>
  <c r="BM275" i="19"/>
  <c r="BO275" i="19"/>
  <c r="BE276" i="19"/>
  <c r="CD275" i="19"/>
  <c r="CF275" i="19" s="1"/>
  <c r="DK275" i="19"/>
  <c r="CI275" i="19"/>
  <c r="BY275" i="19"/>
  <c r="CA275" i="19" s="1"/>
  <c r="DC275" i="19"/>
  <c r="BN275" i="19"/>
  <c r="BQ275" i="19"/>
  <c r="BB276" i="19"/>
  <c r="BS275" i="19"/>
  <c r="CY275" i="19"/>
  <c r="CT275" i="19"/>
  <c r="CW275" i="19"/>
  <c r="DF274" i="19"/>
  <c r="DO274" i="19"/>
  <c r="DG274" i="19"/>
  <c r="DE274" i="19"/>
  <c r="DM274" i="19"/>
  <c r="DN274" i="19"/>
  <c r="J391" i="3"/>
  <c r="CJ275" i="19" l="1"/>
  <c r="CM275" i="19" s="1"/>
  <c r="DM275" i="19"/>
  <c r="DN275" i="19"/>
  <c r="BN276" i="19"/>
  <c r="CW276" i="19"/>
  <c r="BQ276" i="19"/>
  <c r="BS276" i="19"/>
  <c r="CT276" i="19"/>
  <c r="BB277" i="19"/>
  <c r="CY276" i="19"/>
  <c r="BE277" i="19"/>
  <c r="BO276" i="19"/>
  <c r="CI276" i="19"/>
  <c r="DK276" i="19"/>
  <c r="DC276" i="19"/>
  <c r="CD276" i="19"/>
  <c r="CF276" i="19" s="1"/>
  <c r="BY276" i="19"/>
  <c r="CA276" i="19" s="1"/>
  <c r="DG275" i="19"/>
  <c r="DO275" i="19"/>
  <c r="DE275" i="19"/>
  <c r="DF275" i="19"/>
  <c r="BM276" i="19"/>
  <c r="CS276" i="19"/>
  <c r="AV277" i="19"/>
  <c r="J392" i="3"/>
  <c r="CL275" i="19" l="1"/>
  <c r="CJ276" i="19"/>
  <c r="CK276" i="19" s="1"/>
  <c r="CK275" i="19"/>
  <c r="BS277" i="19"/>
  <c r="BN277" i="19"/>
  <c r="CY277" i="19"/>
  <c r="BQ277" i="19"/>
  <c r="BB278" i="19"/>
  <c r="CW277" i="19"/>
  <c r="CT277" i="19"/>
  <c r="DE276" i="19"/>
  <c r="DO276" i="19"/>
  <c r="DG276" i="19"/>
  <c r="DF276" i="19"/>
  <c r="BM277" i="19"/>
  <c r="AV278" i="19"/>
  <c r="CS277" i="19"/>
  <c r="DN276" i="19"/>
  <c r="DM276" i="19"/>
  <c r="DK277" i="19"/>
  <c r="BO277" i="19"/>
  <c r="BY277" i="19"/>
  <c r="CA277" i="19" s="1"/>
  <c r="BE278" i="19"/>
  <c r="CD277" i="19"/>
  <c r="CF277" i="19" s="1"/>
  <c r="DC277" i="19"/>
  <c r="CI277" i="19"/>
  <c r="J393" i="3"/>
  <c r="CL276" i="19" l="1"/>
  <c r="CM276" i="19"/>
  <c r="CJ277" i="19"/>
  <c r="CM277" i="19" s="1"/>
  <c r="BS278" i="19"/>
  <c r="BB279" i="19"/>
  <c r="BN278" i="19"/>
  <c r="BQ278" i="19"/>
  <c r="CY278" i="19"/>
  <c r="CT278" i="19"/>
  <c r="CW278" i="19"/>
  <c r="DK278" i="19"/>
  <c r="BO278" i="19"/>
  <c r="DC278" i="19"/>
  <c r="CD278" i="19"/>
  <c r="CF278" i="19" s="1"/>
  <c r="CI278" i="19"/>
  <c r="BY278" i="19"/>
  <c r="CA278" i="19" s="1"/>
  <c r="BE279" i="19"/>
  <c r="DM277" i="19"/>
  <c r="DN277" i="19"/>
  <c r="DO277" i="19"/>
  <c r="DE277" i="19"/>
  <c r="DF277" i="19"/>
  <c r="DG277" i="19"/>
  <c r="AV279" i="19"/>
  <c r="CS278" i="19"/>
  <c r="BM278" i="19"/>
  <c r="J394" i="3"/>
  <c r="CK277" i="19" l="1"/>
  <c r="CL277" i="19"/>
  <c r="CJ278" i="19"/>
  <c r="CK278" i="19" s="1"/>
  <c r="DK279" i="19"/>
  <c r="CD279" i="19"/>
  <c r="CF279" i="19" s="1"/>
  <c r="BE280" i="19"/>
  <c r="DC279" i="19"/>
  <c r="BY279" i="19"/>
  <c r="CA279" i="19" s="1"/>
  <c r="BO279" i="19"/>
  <c r="CI279" i="19"/>
  <c r="BM279" i="19"/>
  <c r="AV280" i="19"/>
  <c r="CS279" i="19"/>
  <c r="DO278" i="19"/>
  <c r="DG278" i="19"/>
  <c r="DF278" i="19"/>
  <c r="DE278" i="19"/>
  <c r="BB280" i="19"/>
  <c r="CW279" i="19"/>
  <c r="BN279" i="19"/>
  <c r="CT279" i="19"/>
  <c r="BS279" i="19"/>
  <c r="CY279" i="19"/>
  <c r="BQ279" i="19"/>
  <c r="DM278" i="19"/>
  <c r="DN278" i="19"/>
  <c r="J395" i="3"/>
  <c r="CL278" i="19" l="1"/>
  <c r="CJ279" i="19"/>
  <c r="CM279" i="19" s="1"/>
  <c r="CM278" i="19"/>
  <c r="CW280" i="19"/>
  <c r="BS280" i="19"/>
  <c r="CT280" i="19"/>
  <c r="BN280" i="19"/>
  <c r="BQ280" i="19"/>
  <c r="BB281" i="19"/>
  <c r="CY280" i="19"/>
  <c r="DE279" i="19"/>
  <c r="DG279" i="19"/>
  <c r="DO279" i="19"/>
  <c r="DF279" i="19"/>
  <c r="BE281" i="19"/>
  <c r="BY280" i="19"/>
  <c r="CA280" i="19" s="1"/>
  <c r="BO280" i="19"/>
  <c r="CD280" i="19"/>
  <c r="CF280" i="19" s="1"/>
  <c r="CI280" i="19"/>
  <c r="DK280" i="19"/>
  <c r="DC280" i="19"/>
  <c r="BM280" i="19"/>
  <c r="AV281" i="19"/>
  <c r="CS280" i="19"/>
  <c r="DM279" i="19"/>
  <c r="DN279" i="19"/>
  <c r="J396" i="3"/>
  <c r="CL279" i="19" l="1"/>
  <c r="CK279" i="19"/>
  <c r="CJ280" i="19"/>
  <c r="CL280" i="19" s="1"/>
  <c r="BN281" i="19"/>
  <c r="CW281" i="19"/>
  <c r="BS281" i="19"/>
  <c r="CT281" i="19"/>
  <c r="CY281" i="19"/>
  <c r="BQ281" i="19"/>
  <c r="BB282" i="19"/>
  <c r="BM281" i="19"/>
  <c r="AV282" i="19"/>
  <c r="CS281" i="19"/>
  <c r="CD281" i="19"/>
  <c r="CF281" i="19" s="1"/>
  <c r="BO281" i="19"/>
  <c r="DK281" i="19"/>
  <c r="BE282" i="19"/>
  <c r="CI281" i="19"/>
  <c r="DC281" i="19"/>
  <c r="BY281" i="19"/>
  <c r="CA281" i="19" s="1"/>
  <c r="DO280" i="19"/>
  <c r="DG280" i="19"/>
  <c r="DF280" i="19"/>
  <c r="DE280" i="19"/>
  <c r="DM280" i="19"/>
  <c r="DN280" i="19"/>
  <c r="J397" i="3"/>
  <c r="CM280" i="19" l="1"/>
  <c r="CJ281" i="19"/>
  <c r="CL281" i="19" s="1"/>
  <c r="CK280" i="19"/>
  <c r="DO281" i="19"/>
  <c r="DF281" i="19"/>
  <c r="DE281" i="19"/>
  <c r="DG281" i="19"/>
  <c r="BN282" i="19"/>
  <c r="BB283" i="19"/>
  <c r="BQ282" i="19"/>
  <c r="BS282" i="19"/>
  <c r="CY282" i="19"/>
  <c r="CT282" i="19"/>
  <c r="CW282" i="19"/>
  <c r="CD282" i="19"/>
  <c r="CF282" i="19" s="1"/>
  <c r="DC282" i="19"/>
  <c r="BY282" i="19"/>
  <c r="CA282" i="19" s="1"/>
  <c r="DK282" i="19"/>
  <c r="BE283" i="19"/>
  <c r="BO282" i="19"/>
  <c r="CI282" i="19"/>
  <c r="DM281" i="19"/>
  <c r="DN281" i="19"/>
  <c r="CS282" i="19"/>
  <c r="AV283" i="19"/>
  <c r="BM282" i="19"/>
  <c r="J398" i="3"/>
  <c r="CK281" i="19" l="1"/>
  <c r="CM281" i="19"/>
  <c r="CJ282" i="19"/>
  <c r="CK282" i="19" s="1"/>
  <c r="DE282" i="19"/>
  <c r="DG282" i="19"/>
  <c r="DF282" i="19"/>
  <c r="DO282" i="19"/>
  <c r="BN283" i="19"/>
  <c r="BQ283" i="19"/>
  <c r="BS283" i="19"/>
  <c r="CW283" i="19"/>
  <c r="CT283" i="19"/>
  <c r="BB284" i="19"/>
  <c r="CY283" i="19"/>
  <c r="CD283" i="19"/>
  <c r="CF283" i="19" s="1"/>
  <c r="DC283" i="19"/>
  <c r="BE284" i="19"/>
  <c r="BY283" i="19"/>
  <c r="CA283" i="19" s="1"/>
  <c r="BO283" i="19"/>
  <c r="DK283" i="19"/>
  <c r="CI283" i="19"/>
  <c r="BM283" i="19"/>
  <c r="CS283" i="19"/>
  <c r="AV284" i="19"/>
  <c r="DM282" i="19"/>
  <c r="DN282" i="19"/>
  <c r="J399" i="3"/>
  <c r="CL282" i="19" l="1"/>
  <c r="CJ283" i="19"/>
  <c r="CM283" i="19" s="1"/>
  <c r="CM282" i="19"/>
  <c r="BM284" i="19"/>
  <c r="AV285" i="19"/>
  <c r="CS284" i="19"/>
  <c r="BY284" i="19"/>
  <c r="CA284" i="19" s="1"/>
  <c r="BO284" i="19"/>
  <c r="DK284" i="19"/>
  <c r="BE285" i="19"/>
  <c r="CI284" i="19"/>
  <c r="CD284" i="19"/>
  <c r="CF284" i="19" s="1"/>
  <c r="DC284" i="19"/>
  <c r="DE283" i="19"/>
  <c r="DG283" i="19"/>
  <c r="DF283" i="19"/>
  <c r="DO283" i="19"/>
  <c r="BQ284" i="19"/>
  <c r="CW284" i="19"/>
  <c r="CY284" i="19"/>
  <c r="CT284" i="19"/>
  <c r="BS284" i="19"/>
  <c r="BB285" i="19"/>
  <c r="BN284" i="19"/>
  <c r="DM283" i="19"/>
  <c r="DN283" i="19"/>
  <c r="J400" i="3"/>
  <c r="CL283" i="19" l="1"/>
  <c r="CK283" i="19"/>
  <c r="CJ284" i="19"/>
  <c r="BY285" i="19"/>
  <c r="CA285" i="19" s="1"/>
  <c r="DC285" i="19"/>
  <c r="CD285" i="19"/>
  <c r="CF285" i="19" s="1"/>
  <c r="BE286" i="19"/>
  <c r="DK285" i="19"/>
  <c r="CI285" i="19"/>
  <c r="BO285" i="19"/>
  <c r="DN284" i="19"/>
  <c r="DM284" i="19"/>
  <c r="BN285" i="19"/>
  <c r="CT285" i="19"/>
  <c r="BS285" i="19"/>
  <c r="CY285" i="19"/>
  <c r="BQ285" i="19"/>
  <c r="CW285" i="19"/>
  <c r="BB286" i="19"/>
  <c r="DG284" i="19"/>
  <c r="DE284" i="19"/>
  <c r="DF284" i="19"/>
  <c r="DO284" i="19"/>
  <c r="AV286" i="19"/>
  <c r="CS285" i="19"/>
  <c r="BM285" i="19"/>
  <c r="J401" i="3"/>
  <c r="CJ285" i="19" l="1"/>
  <c r="CM285" i="19" s="1"/>
  <c r="CL284" i="19"/>
  <c r="CM284" i="19"/>
  <c r="CK284" i="19"/>
  <c r="BS286" i="19"/>
  <c r="CY286" i="19"/>
  <c r="BQ286" i="19"/>
  <c r="BN286" i="19"/>
  <c r="BB287" i="19"/>
  <c r="CT286" i="19"/>
  <c r="CW286" i="19"/>
  <c r="DN285" i="19"/>
  <c r="DM285" i="19"/>
  <c r="DC286" i="19"/>
  <c r="BE287" i="19"/>
  <c r="CI286" i="19"/>
  <c r="CD286" i="19"/>
  <c r="CF286" i="19" s="1"/>
  <c r="BY286" i="19"/>
  <c r="CA286" i="19" s="1"/>
  <c r="DK286" i="19"/>
  <c r="BO286" i="19"/>
  <c r="CS286" i="19"/>
  <c r="BM286" i="19"/>
  <c r="AV287" i="19"/>
  <c r="DO285" i="19"/>
  <c r="DG285" i="19"/>
  <c r="DE285" i="19"/>
  <c r="DF285" i="19"/>
  <c r="J402" i="3"/>
  <c r="CK285" i="19" l="1"/>
  <c r="CL285" i="19"/>
  <c r="CJ286" i="19"/>
  <c r="CM286" i="19" s="1"/>
  <c r="DM286" i="19"/>
  <c r="DN286" i="19"/>
  <c r="BN287" i="19"/>
  <c r="BQ287" i="19"/>
  <c r="BB288" i="19"/>
  <c r="BS287" i="19"/>
  <c r="CY287" i="19"/>
  <c r="CW287" i="19"/>
  <c r="CT287" i="19"/>
  <c r="AV288" i="19"/>
  <c r="CS287" i="19"/>
  <c r="BM287" i="19"/>
  <c r="BE288" i="19"/>
  <c r="BO287" i="19"/>
  <c r="CI287" i="19"/>
  <c r="DC287" i="19"/>
  <c r="DK287" i="19"/>
  <c r="CD287" i="19"/>
  <c r="CF287" i="19" s="1"/>
  <c r="BY287" i="19"/>
  <c r="CA287" i="19" s="1"/>
  <c r="DG286" i="19"/>
  <c r="DO286" i="19"/>
  <c r="DE286" i="19"/>
  <c r="DF286" i="19"/>
  <c r="J403" i="3"/>
  <c r="CL286" i="19" l="1"/>
  <c r="CK286" i="19"/>
  <c r="CJ287" i="19"/>
  <c r="CL287" i="19" s="1"/>
  <c r="DE287" i="19"/>
  <c r="DO287" i="19"/>
  <c r="DF287" i="19"/>
  <c r="DG287" i="19"/>
  <c r="DK288" i="19"/>
  <c r="BE289" i="19"/>
  <c r="CD288" i="19"/>
  <c r="CF288" i="19" s="1"/>
  <c r="BY288" i="19"/>
  <c r="CA288" i="19" s="1"/>
  <c r="CI288" i="19"/>
  <c r="CJ288" i="19" s="1"/>
  <c r="CK288" i="19" s="1"/>
  <c r="DC288" i="19"/>
  <c r="BO288" i="19"/>
  <c r="BN288" i="19"/>
  <c r="CY288" i="19"/>
  <c r="BS288" i="19"/>
  <c r="CT288" i="19"/>
  <c r="BB289" i="19"/>
  <c r="CW288" i="19"/>
  <c r="BQ288" i="19"/>
  <c r="AV289" i="19"/>
  <c r="BM288" i="19"/>
  <c r="CS288" i="19"/>
  <c r="DN287" i="19"/>
  <c r="DM287" i="19"/>
  <c r="J404" i="3"/>
  <c r="CM287" i="19" l="1"/>
  <c r="CL288" i="19"/>
  <c r="CK287" i="19"/>
  <c r="CM288" i="19"/>
  <c r="BE290" i="19"/>
  <c r="BY289" i="19"/>
  <c r="CA289" i="19" s="1"/>
  <c r="DK289" i="19"/>
  <c r="DC289" i="19"/>
  <c r="CI289" i="19"/>
  <c r="BO289" i="19"/>
  <c r="CD289" i="19"/>
  <c r="CF289" i="19" s="1"/>
  <c r="DN288" i="19"/>
  <c r="DM288" i="19"/>
  <c r="BM289" i="19"/>
  <c r="CS289" i="19"/>
  <c r="AV290" i="19"/>
  <c r="DF288" i="19"/>
  <c r="DE288" i="19"/>
  <c r="DG288" i="19"/>
  <c r="DO288" i="19"/>
  <c r="BN289" i="19"/>
  <c r="BB290" i="19"/>
  <c r="BS289" i="19"/>
  <c r="CY289" i="19"/>
  <c r="CW289" i="19"/>
  <c r="CT289" i="19"/>
  <c r="BQ289" i="19"/>
  <c r="J405" i="3"/>
  <c r="CJ289" i="19" l="1"/>
  <c r="CL289" i="19" s="1"/>
  <c r="BM290" i="19"/>
  <c r="CS290" i="19"/>
  <c r="AV291" i="19"/>
  <c r="DG289" i="19"/>
  <c r="DO289" i="19"/>
  <c r="DE289" i="19"/>
  <c r="DF289" i="19"/>
  <c r="CT290" i="19"/>
  <c r="BN290" i="19"/>
  <c r="CY290" i="19"/>
  <c r="BS290" i="19"/>
  <c r="BB291" i="19"/>
  <c r="CW290" i="19"/>
  <c r="BQ290" i="19"/>
  <c r="DM289" i="19"/>
  <c r="DN289" i="19"/>
  <c r="DK290" i="19"/>
  <c r="DC290" i="19"/>
  <c r="BO290" i="19"/>
  <c r="BY290" i="19"/>
  <c r="CA290" i="19" s="1"/>
  <c r="CI290" i="19"/>
  <c r="BE291" i="19"/>
  <c r="CD290" i="19"/>
  <c r="CF290" i="19" s="1"/>
  <c r="J406" i="3"/>
  <c r="J407" i="3" s="1"/>
  <c r="J408" i="3" s="1"/>
  <c r="J409" i="3" s="1"/>
  <c r="J410" i="3" s="1"/>
  <c r="J411" i="3" s="1"/>
  <c r="J412" i="3" s="1"/>
  <c r="J413" i="3" s="1"/>
  <c r="J414" i="3" s="1"/>
  <c r="J415" i="3" s="1"/>
  <c r="J416" i="3" s="1"/>
  <c r="J417" i="3" s="1"/>
  <c r="J418" i="3" s="1"/>
  <c r="J419" i="3" s="1"/>
  <c r="J420" i="3" s="1"/>
  <c r="J421" i="3" s="1"/>
  <c r="J422" i="3" s="1"/>
  <c r="J423" i="3" s="1"/>
  <c r="J424" i="3" s="1"/>
  <c r="J425" i="3" s="1"/>
  <c r="J426" i="3" s="1"/>
  <c r="J427" i="3" s="1"/>
  <c r="J428" i="3" s="1"/>
  <c r="J429" i="3" s="1"/>
  <c r="J430" i="3" s="1"/>
  <c r="J431" i="3" s="1"/>
  <c r="J432" i="3" s="1"/>
  <c r="J433" i="3" s="1"/>
  <c r="J434" i="3" s="1"/>
  <c r="J435" i="3" s="1"/>
  <c r="J436" i="3" s="1"/>
  <c r="J437" i="3" s="1"/>
  <c r="J438" i="3" s="1"/>
  <c r="J439" i="3" s="1"/>
  <c r="J440" i="3" s="1"/>
  <c r="J441" i="3" s="1"/>
  <c r="J442" i="3" s="1"/>
  <c r="J443" i="3" s="1"/>
  <c r="J444" i="3" s="1"/>
  <c r="J445" i="3" s="1"/>
  <c r="J446" i="3" s="1"/>
  <c r="J447" i="3" s="1"/>
  <c r="J448" i="3" s="1"/>
  <c r="CM289" i="19" l="1"/>
  <c r="CK289" i="19"/>
  <c r="CJ290" i="19"/>
  <c r="CK290" i="19" s="1"/>
  <c r="DK291" i="19"/>
  <c r="BY291" i="19"/>
  <c r="CA291" i="19" s="1"/>
  <c r="BO291" i="19"/>
  <c r="CI291" i="19"/>
  <c r="CJ291" i="19" s="1"/>
  <c r="CK291" i="19" s="1"/>
  <c r="DC291" i="19"/>
  <c r="CD291" i="19"/>
  <c r="CF291" i="19" s="1"/>
  <c r="BE292" i="19"/>
  <c r="BN291" i="19"/>
  <c r="BQ291" i="19"/>
  <c r="BB292" i="19"/>
  <c r="BS291" i="19"/>
  <c r="CY291" i="19"/>
  <c r="CT291" i="19"/>
  <c r="CW291" i="19"/>
  <c r="DE290" i="19"/>
  <c r="DG290" i="19"/>
  <c r="DF290" i="19"/>
  <c r="DO290" i="19"/>
  <c r="AV292" i="19"/>
  <c r="CS291" i="19"/>
  <c r="BM291" i="19"/>
  <c r="DN290" i="19"/>
  <c r="DM290" i="19"/>
  <c r="J449" i="3"/>
  <c r="CL290" i="19" l="1"/>
  <c r="CM290" i="19"/>
  <c r="CL291" i="19"/>
  <c r="CM291" i="19"/>
  <c r="BO292" i="19"/>
  <c r="BE293" i="19"/>
  <c r="CI292" i="19"/>
  <c r="CJ292" i="19" s="1"/>
  <c r="CL292" i="19" s="1"/>
  <c r="BY292" i="19"/>
  <c r="CA292" i="19" s="1"/>
  <c r="DK292" i="19"/>
  <c r="CD292" i="19"/>
  <c r="CF292" i="19" s="1"/>
  <c r="DC292" i="19"/>
  <c r="DF291" i="19"/>
  <c r="DG291" i="19"/>
  <c r="DO291" i="19"/>
  <c r="DE291" i="19"/>
  <c r="DE295" i="19" s="1"/>
  <c r="BM292" i="19"/>
  <c r="CS292" i="19"/>
  <c r="AV293" i="19"/>
  <c r="BS292" i="19"/>
  <c r="CW292" i="19"/>
  <c r="BQ292" i="19"/>
  <c r="BN292" i="19"/>
  <c r="BB293" i="19"/>
  <c r="CY292" i="19"/>
  <c r="CT292" i="19"/>
  <c r="DM291" i="19"/>
  <c r="DN291" i="19"/>
  <c r="J450" i="3"/>
  <c r="CK292" i="19" l="1"/>
  <c r="CM292" i="19"/>
  <c r="DO292" i="19"/>
  <c r="DE292" i="19"/>
  <c r="DG292" i="19"/>
  <c r="DF292" i="19"/>
  <c r="BM293" i="19"/>
  <c r="CS293" i="19"/>
  <c r="AV294" i="19"/>
  <c r="DM292" i="19"/>
  <c r="DN292" i="19"/>
  <c r="BQ293" i="19"/>
  <c r="BS293" i="19"/>
  <c r="CW293" i="19"/>
  <c r="BB294" i="19"/>
  <c r="BN293" i="19"/>
  <c r="CT293" i="19"/>
  <c r="CY293" i="19"/>
  <c r="A165" i="19"/>
  <c r="A164" i="19"/>
  <c r="A162" i="19"/>
  <c r="A157" i="19"/>
  <c r="DC293" i="19"/>
  <c r="BO293" i="19"/>
  <c r="DK293" i="19"/>
  <c r="BY293" i="19"/>
  <c r="CA293" i="19" s="1"/>
  <c r="CD293" i="19"/>
  <c r="CF293" i="19" s="1"/>
  <c r="CI293" i="19"/>
  <c r="BE294" i="19"/>
  <c r="J451" i="3"/>
  <c r="CJ293" i="19" l="1"/>
  <c r="CK293" i="19" s="1"/>
  <c r="A166" i="19"/>
  <c r="F165" i="19"/>
  <c r="F167" i="19" s="1"/>
  <c r="DG293" i="19"/>
  <c r="DE293" i="19"/>
  <c r="DF293" i="19"/>
  <c r="DO293" i="19"/>
  <c r="F159" i="19"/>
  <c r="A159" i="19"/>
  <c r="AV295" i="19"/>
  <c r="AV263" i="20" s="1"/>
  <c r="AV264" i="20" s="1"/>
  <c r="BM294" i="19"/>
  <c r="CS294" i="19"/>
  <c r="A163" i="19"/>
  <c r="F163" i="19"/>
  <c r="DK294" i="19"/>
  <c r="BE295" i="19"/>
  <c r="BE263" i="20" s="1"/>
  <c r="BE264" i="20" s="1"/>
  <c r="DC294" i="19"/>
  <c r="BY294" i="19"/>
  <c r="CA294" i="19" s="1"/>
  <c r="CA295" i="19" s="1"/>
  <c r="CA298" i="19" s="1"/>
  <c r="CD294" i="19"/>
  <c r="CF294" i="19" s="1"/>
  <c r="CF295" i="19" s="1"/>
  <c r="CF298" i="19" s="1"/>
  <c r="CI294" i="19"/>
  <c r="BO294" i="19"/>
  <c r="A161" i="19"/>
  <c r="BN294" i="19"/>
  <c r="CY294" i="19"/>
  <c r="BQ294" i="19"/>
  <c r="BS294" i="19"/>
  <c r="CT294" i="19"/>
  <c r="CW294" i="19"/>
  <c r="BB295" i="19"/>
  <c r="BB263" i="20" s="1"/>
  <c r="BB264" i="20" s="1"/>
  <c r="A167" i="19"/>
  <c r="F158" i="19"/>
  <c r="A158" i="19"/>
  <c r="F160" i="19"/>
  <c r="A160" i="19"/>
  <c r="DN293" i="19"/>
  <c r="DM293" i="19"/>
  <c r="J452" i="3"/>
  <c r="I378" i="19" l="1"/>
  <c r="H380" i="19" s="1"/>
  <c r="I380" i="19" s="1"/>
  <c r="D37" i="18" s="1"/>
  <c r="CL293" i="19"/>
  <c r="CM293" i="19"/>
  <c r="CI295" i="19"/>
  <c r="CI298" i="19" s="1"/>
  <c r="CJ294" i="19"/>
  <c r="F162" i="19"/>
  <c r="BS264" i="20"/>
  <c r="BN264" i="20"/>
  <c r="CT264" i="20"/>
  <c r="BQ264" i="20"/>
  <c r="CW264" i="20"/>
  <c r="BB265" i="20"/>
  <c r="CY264" i="20"/>
  <c r="DF294" i="19"/>
  <c r="DF295" i="19" s="1"/>
  <c r="DG294" i="19"/>
  <c r="DG295" i="19" s="1"/>
  <c r="DO294" i="19"/>
  <c r="DO295" i="19" s="1"/>
  <c r="DE294" i="19"/>
  <c r="BO264" i="20"/>
  <c r="CI264" i="20"/>
  <c r="BY264" i="20"/>
  <c r="CA264" i="20" s="1"/>
  <c r="CD264" i="20"/>
  <c r="CF264" i="20" s="1"/>
  <c r="BE265" i="20"/>
  <c r="DK264" i="20"/>
  <c r="DC264" i="20"/>
  <c r="AV265" i="20"/>
  <c r="CS264" i="20"/>
  <c r="BM264" i="20"/>
  <c r="DN294" i="19"/>
  <c r="DN295" i="19" s="1"/>
  <c r="DM294" i="19"/>
  <c r="DM295" i="19" s="1"/>
  <c r="J453" i="3"/>
  <c r="H152" i="19" l="1"/>
  <c r="J155" i="19"/>
  <c r="A172" i="19"/>
  <c r="A173" i="19"/>
  <c r="F169" i="19"/>
  <c r="A177" i="19"/>
  <c r="A175" i="19"/>
  <c r="A169" i="19"/>
  <c r="P18" i="9"/>
  <c r="H375" i="19" s="1"/>
  <c r="I375" i="19" s="1"/>
  <c r="P404" i="19" s="1"/>
  <c r="H409" i="19" s="1"/>
  <c r="I409" i="19" s="1"/>
  <c r="D66" i="18" s="1"/>
  <c r="D35" i="18"/>
  <c r="M379" i="19"/>
  <c r="CJ264" i="20"/>
  <c r="CK264" i="20" s="1"/>
  <c r="CJ295" i="19"/>
  <c r="CK294" i="19"/>
  <c r="CK295" i="19" s="1"/>
  <c r="CL294" i="19"/>
  <c r="CL295" i="19" s="1"/>
  <c r="CM294" i="19"/>
  <c r="CM295" i="19" s="1"/>
  <c r="CY265" i="20"/>
  <c r="BQ265" i="20"/>
  <c r="BS265" i="20"/>
  <c r="CT265" i="20"/>
  <c r="BN265" i="20"/>
  <c r="BB266" i="20"/>
  <c r="CW265" i="20"/>
  <c r="CS265" i="20"/>
  <c r="BM265" i="20"/>
  <c r="AV266" i="20"/>
  <c r="DG264" i="20"/>
  <c r="DO264" i="20"/>
  <c r="DF264" i="20"/>
  <c r="DE264" i="20"/>
  <c r="DN264" i="20"/>
  <c r="DM264" i="20"/>
  <c r="DC265" i="20"/>
  <c r="DK265" i="20"/>
  <c r="CI265" i="20"/>
  <c r="BY265" i="20"/>
  <c r="CA265" i="20" s="1"/>
  <c r="CD265" i="20"/>
  <c r="CF265" i="20" s="1"/>
  <c r="BE266" i="20"/>
  <c r="BO265" i="20"/>
  <c r="J454" i="3"/>
  <c r="A174" i="19" l="1"/>
  <c r="F174" i="19"/>
  <c r="A170" i="19"/>
  <c r="F170" i="19"/>
  <c r="F173" i="19" s="1"/>
  <c r="F171" i="19"/>
  <c r="A171" i="19"/>
  <c r="F179" i="19"/>
  <c r="A178" i="19"/>
  <c r="A176" i="19"/>
  <c r="F176" i="19"/>
  <c r="F178" i="19" s="1"/>
  <c r="A188" i="19"/>
  <c r="A184" i="19"/>
  <c r="A183" i="19"/>
  <c r="F180" i="19"/>
  <c r="A180" i="19"/>
  <c r="A186" i="19"/>
  <c r="CM264" i="20"/>
  <c r="CL264" i="20"/>
  <c r="P411" i="19"/>
  <c r="P413" i="19"/>
  <c r="H407" i="19"/>
  <c r="I407" i="19" s="1"/>
  <c r="D64" i="18" s="1"/>
  <c r="P409" i="19"/>
  <c r="I404" i="19"/>
  <c r="D61" i="18" s="1"/>
  <c r="J375" i="19"/>
  <c r="J376" i="19" s="1"/>
  <c r="J377" i="19" s="1"/>
  <c r="J378" i="19" s="1"/>
  <c r="J379" i="19" s="1"/>
  <c r="J380" i="19" s="1"/>
  <c r="J381" i="19" s="1"/>
  <c r="J382" i="19" s="1"/>
  <c r="J383" i="19" s="1"/>
  <c r="J384" i="19" s="1"/>
  <c r="J385" i="19" s="1"/>
  <c r="J386" i="19" s="1"/>
  <c r="J387" i="19" s="1"/>
  <c r="J388" i="19" s="1"/>
  <c r="J389" i="19" s="1"/>
  <c r="J390" i="19" s="1"/>
  <c r="J391" i="19" s="1"/>
  <c r="J392" i="19" s="1"/>
  <c r="J393" i="19" s="1"/>
  <c r="J394" i="19" s="1"/>
  <c r="J395" i="19" s="1"/>
  <c r="J396" i="19" s="1"/>
  <c r="J397" i="19" s="1"/>
  <c r="J398" i="19" s="1"/>
  <c r="J399" i="19" s="1"/>
  <c r="J400" i="19" s="1"/>
  <c r="J401" i="19" s="1"/>
  <c r="J402" i="19" s="1"/>
  <c r="J403" i="19" s="1"/>
  <c r="J404" i="19" s="1"/>
  <c r="J405" i="19" s="1"/>
  <c r="J406" i="19" s="1"/>
  <c r="J407" i="19" s="1"/>
  <c r="P407" i="19"/>
  <c r="D32" i="18"/>
  <c r="P412" i="19"/>
  <c r="P408" i="19"/>
  <c r="H412" i="19"/>
  <c r="I412" i="19" s="1"/>
  <c r="D69" i="18" s="1"/>
  <c r="H411" i="19"/>
  <c r="I411" i="19" s="1"/>
  <c r="D68" i="18" s="1"/>
  <c r="H408" i="19"/>
  <c r="I408" i="19" s="1"/>
  <c r="D65" i="18" s="1"/>
  <c r="CJ265" i="20"/>
  <c r="CM265" i="20" s="1"/>
  <c r="DK266" i="20"/>
  <c r="BE267" i="20"/>
  <c r="BY266" i="20"/>
  <c r="CA266" i="20" s="1"/>
  <c r="CI266" i="20"/>
  <c r="DC266" i="20"/>
  <c r="CD266" i="20"/>
  <c r="CF266" i="20" s="1"/>
  <c r="BO266" i="20"/>
  <c r="CY266" i="20"/>
  <c r="CW266" i="20"/>
  <c r="CT266" i="20"/>
  <c r="BS266" i="20"/>
  <c r="BB267" i="20"/>
  <c r="BN266" i="20"/>
  <c r="BQ266" i="20"/>
  <c r="DN265" i="20"/>
  <c r="DM265" i="20"/>
  <c r="DG265" i="20"/>
  <c r="DF265" i="20"/>
  <c r="DE265" i="20"/>
  <c r="DO265" i="20"/>
  <c r="CS266" i="20"/>
  <c r="BM266" i="20"/>
  <c r="AV267" i="20"/>
  <c r="J455" i="3"/>
  <c r="A187" i="19" l="1"/>
  <c r="F187" i="19"/>
  <c r="F189" i="19" s="1"/>
  <c r="F181" i="19"/>
  <c r="F184" i="19" s="1"/>
  <c r="A181" i="19"/>
  <c r="A189" i="19"/>
  <c r="A185" i="19"/>
  <c r="F185" i="19"/>
  <c r="A182" i="19"/>
  <c r="F182" i="19"/>
  <c r="H432" i="19"/>
  <c r="I432" i="19" s="1"/>
  <c r="M435" i="19" s="1"/>
  <c r="J408" i="19"/>
  <c r="J409" i="19" s="1"/>
  <c r="J410" i="19" s="1"/>
  <c r="J411" i="19" s="1"/>
  <c r="J412" i="19" s="1"/>
  <c r="J413" i="19" s="1"/>
  <c r="J414" i="19" s="1"/>
  <c r="J415" i="19" s="1"/>
  <c r="J416" i="19" s="1"/>
  <c r="J417" i="19" s="1"/>
  <c r="J418" i="19" s="1"/>
  <c r="J419" i="19" s="1"/>
  <c r="J420" i="19" s="1"/>
  <c r="J421" i="19" s="1"/>
  <c r="J422" i="19" s="1"/>
  <c r="J423" i="19" s="1"/>
  <c r="J424" i="19" s="1"/>
  <c r="J425" i="19" s="1"/>
  <c r="J426" i="19" s="1"/>
  <c r="J427" i="19" s="1"/>
  <c r="I428" i="19"/>
  <c r="P427" i="19"/>
  <c r="P428" i="19" s="1"/>
  <c r="CL265" i="20"/>
  <c r="CJ266" i="20"/>
  <c r="CM266" i="20" s="1"/>
  <c r="CK265" i="20"/>
  <c r="BM267" i="20"/>
  <c r="AV268" i="20"/>
  <c r="CS267" i="20"/>
  <c r="DG266" i="20"/>
  <c r="DE266" i="20"/>
  <c r="DF266" i="20"/>
  <c r="DO266" i="20"/>
  <c r="BS267" i="20"/>
  <c r="BB268" i="20"/>
  <c r="BN267" i="20"/>
  <c r="CW267" i="20"/>
  <c r="CT267" i="20"/>
  <c r="BQ267" i="20"/>
  <c r="CY267" i="20"/>
  <c r="CI267" i="20"/>
  <c r="CD267" i="20"/>
  <c r="CF267" i="20" s="1"/>
  <c r="BY267" i="20"/>
  <c r="CA267" i="20" s="1"/>
  <c r="BO267" i="20"/>
  <c r="BE268" i="20"/>
  <c r="DC267" i="20"/>
  <c r="DK267" i="20"/>
  <c r="DM266" i="20"/>
  <c r="DN266" i="20"/>
  <c r="J456" i="3"/>
  <c r="D89" i="18" l="1"/>
  <c r="J428" i="19"/>
  <c r="J429" i="19" s="1"/>
  <c r="G155" i="19"/>
  <c r="I430" i="19"/>
  <c r="D85" i="18"/>
  <c r="CK266" i="20"/>
  <c r="CL266" i="20"/>
  <c r="CJ267" i="20"/>
  <c r="CM267" i="20" s="1"/>
  <c r="DM267" i="20"/>
  <c r="DN267" i="20"/>
  <c r="DO267" i="20"/>
  <c r="DE267" i="20"/>
  <c r="DF267" i="20"/>
  <c r="DG267" i="20"/>
  <c r="BE269" i="20"/>
  <c r="CI268" i="20"/>
  <c r="CJ268" i="20" s="1"/>
  <c r="CK268" i="20" s="1"/>
  <c r="BY268" i="20"/>
  <c r="CA268" i="20" s="1"/>
  <c r="CD268" i="20"/>
  <c r="CF268" i="20" s="1"/>
  <c r="BO268" i="20"/>
  <c r="DC268" i="20"/>
  <c r="DK268" i="20"/>
  <c r="AV269" i="20"/>
  <c r="BM268" i="20"/>
  <c r="CS268" i="20"/>
  <c r="BQ268" i="20"/>
  <c r="BB269" i="20"/>
  <c r="CT268" i="20"/>
  <c r="CW268" i="20"/>
  <c r="CY268" i="20"/>
  <c r="BS268" i="20"/>
  <c r="BN268" i="20"/>
  <c r="J457" i="3"/>
  <c r="D87" i="18" l="1"/>
  <c r="F155" i="19"/>
  <c r="I447" i="19"/>
  <c r="D104" i="18" s="1"/>
  <c r="J430" i="19"/>
  <c r="J431" i="19" s="1"/>
  <c r="J432" i="19" s="1"/>
  <c r="J433" i="19" s="1"/>
  <c r="J434" i="19" s="1"/>
  <c r="J435" i="19" s="1"/>
  <c r="J436" i="19" s="1"/>
  <c r="J437" i="19" s="1"/>
  <c r="J438" i="19" s="1"/>
  <c r="J439" i="19" s="1"/>
  <c r="J440" i="19" s="1"/>
  <c r="J441" i="19" s="1"/>
  <c r="J442" i="19" s="1"/>
  <c r="J443" i="19" s="1"/>
  <c r="J444" i="19" s="1"/>
  <c r="J445" i="19" s="1"/>
  <c r="J446" i="19" s="1"/>
  <c r="CM268" i="20"/>
  <c r="CL268" i="20"/>
  <c r="CL267" i="20"/>
  <c r="CK267" i="20"/>
  <c r="BM269" i="20"/>
  <c r="AV270" i="20"/>
  <c r="CS269" i="20"/>
  <c r="DM268" i="20"/>
  <c r="DN268" i="20"/>
  <c r="DF268" i="20"/>
  <c r="DO268" i="20"/>
  <c r="DE268" i="20"/>
  <c r="DG268" i="20"/>
  <c r="CY269" i="20"/>
  <c r="BQ269" i="20"/>
  <c r="BS269" i="20"/>
  <c r="BB270" i="20"/>
  <c r="BN269" i="20"/>
  <c r="CT269" i="20"/>
  <c r="CW269" i="20"/>
  <c r="CI269" i="20"/>
  <c r="BE270" i="20"/>
  <c r="CD269" i="20"/>
  <c r="CF269" i="20" s="1"/>
  <c r="BO269" i="20"/>
  <c r="DC269" i="20"/>
  <c r="DK269" i="20"/>
  <c r="BY269" i="20"/>
  <c r="CA269" i="20" s="1"/>
  <c r="P102" i="3"/>
  <c r="I66" i="3"/>
  <c r="H101" i="3"/>
  <c r="I64" i="3"/>
  <c r="H64" i="3"/>
  <c r="A64" i="3"/>
  <c r="J64" i="3"/>
  <c r="P64" i="3"/>
  <c r="H65" i="3"/>
  <c r="P65" i="3"/>
  <c r="I65" i="3"/>
  <c r="J65" i="3"/>
  <c r="A65" i="3"/>
  <c r="J66" i="3"/>
  <c r="A66" i="3"/>
  <c r="H66" i="3"/>
  <c r="P66" i="3"/>
  <c r="H96" i="3"/>
  <c r="J67" i="3"/>
  <c r="H67" i="3"/>
  <c r="A67" i="3"/>
  <c r="I67" i="3"/>
  <c r="P67" i="3"/>
  <c r="I95" i="3"/>
  <c r="J68" i="3"/>
  <c r="P68" i="3"/>
  <c r="A68" i="3"/>
  <c r="I68" i="3"/>
  <c r="H68" i="3"/>
  <c r="A124" i="3"/>
  <c r="P71" i="3"/>
  <c r="P70" i="3"/>
  <c r="H94" i="3"/>
  <c r="H73" i="3"/>
  <c r="I85" i="3"/>
  <c r="I91" i="3"/>
  <c r="P88" i="3"/>
  <c r="A93" i="3"/>
  <c r="P84" i="3"/>
  <c r="J75" i="3"/>
  <c r="J88" i="3"/>
  <c r="H71" i="3"/>
  <c r="H79" i="3"/>
  <c r="J87" i="3"/>
  <c r="A69" i="3"/>
  <c r="I78" i="3"/>
  <c r="I73" i="3"/>
  <c r="H83" i="3"/>
  <c r="I70" i="3"/>
  <c r="P79" i="3"/>
  <c r="I86" i="3"/>
  <c r="A83" i="3"/>
  <c r="J93" i="3"/>
  <c r="A87" i="3"/>
  <c r="A71" i="3"/>
  <c r="J92" i="3"/>
  <c r="H91" i="3"/>
  <c r="P76" i="3"/>
  <c r="A86" i="3"/>
  <c r="P69" i="3"/>
  <c r="J80" i="3"/>
  <c r="A90" i="3"/>
  <c r="J84" i="3"/>
  <c r="J85" i="3"/>
  <c r="I77" i="3"/>
  <c r="I80" i="3"/>
  <c r="P89" i="3"/>
  <c r="H74" i="3"/>
  <c r="H77" i="3"/>
  <c r="P82" i="3"/>
  <c r="H69" i="3"/>
  <c r="A92" i="3"/>
  <c r="I84" i="3"/>
  <c r="H72" i="3"/>
  <c r="P74" i="3"/>
  <c r="J83" i="3"/>
  <c r="H93" i="3"/>
  <c r="A85" i="3"/>
  <c r="H88" i="3"/>
  <c r="I87" i="3"/>
  <c r="A88" i="3"/>
  <c r="A70" i="3"/>
  <c r="I72" i="3"/>
  <c r="I76" i="3"/>
  <c r="H78" i="3"/>
  <c r="J79" i="3"/>
  <c r="P80" i="3"/>
  <c r="J77" i="3"/>
  <c r="H70" i="3"/>
  <c r="H92" i="3"/>
  <c r="J72" i="3"/>
  <c r="H81" i="3"/>
  <c r="H86" i="3"/>
  <c r="J76" i="3"/>
  <c r="A82" i="3"/>
  <c r="P85" i="3"/>
  <c r="I71" i="3"/>
  <c r="I93" i="3"/>
  <c r="P78" i="3"/>
  <c r="P90" i="3"/>
  <c r="H84" i="3"/>
  <c r="P72" i="3"/>
  <c r="P87" i="3"/>
  <c r="I75" i="3"/>
  <c r="H85" i="3"/>
  <c r="J78" i="3"/>
  <c r="A80" i="3"/>
  <c r="J71" i="3"/>
  <c r="P77" i="3"/>
  <c r="I88" i="3"/>
  <c r="A74" i="3"/>
  <c r="A76" i="3"/>
  <c r="H90" i="3"/>
  <c r="I90" i="3"/>
  <c r="P75" i="3"/>
  <c r="H75" i="3"/>
  <c r="H87" i="3"/>
  <c r="J73" i="3"/>
  <c r="A84" i="3"/>
  <c r="J69" i="3"/>
  <c r="A75" i="3"/>
  <c r="P91" i="3"/>
  <c r="A73" i="3"/>
  <c r="P83" i="3"/>
  <c r="P73" i="3"/>
  <c r="I69" i="3"/>
  <c r="I79" i="3"/>
  <c r="A78" i="3"/>
  <c r="J89" i="3"/>
  <c r="I83" i="3"/>
  <c r="J74" i="3"/>
  <c r="H82" i="3"/>
  <c r="P93" i="3"/>
  <c r="P81" i="3"/>
  <c r="J91" i="3"/>
  <c r="A89" i="3"/>
  <c r="J70" i="3"/>
  <c r="J82" i="3"/>
  <c r="P86" i="3"/>
  <c r="H80" i="3"/>
  <c r="I82" i="3"/>
  <c r="P92" i="3"/>
  <c r="I92" i="3"/>
  <c r="H89" i="3"/>
  <c r="A72" i="3"/>
  <c r="J81" i="3"/>
  <c r="I81" i="3"/>
  <c r="I89" i="3"/>
  <c r="I74" i="3"/>
  <c r="J90" i="3"/>
  <c r="A77" i="3"/>
  <c r="A81" i="3"/>
  <c r="H76" i="3"/>
  <c r="A79" i="3"/>
  <c r="A91" i="3"/>
  <c r="J86" i="3"/>
  <c r="P97" i="3"/>
  <c r="J94" i="3"/>
  <c r="A95" i="3"/>
  <c r="P94" i="3"/>
  <c r="J95" i="3"/>
  <c r="I94" i="3"/>
  <c r="A94" i="3"/>
  <c r="H95" i="3"/>
  <c r="P95" i="3"/>
  <c r="P99" i="3"/>
  <c r="H97" i="3"/>
  <c r="J96" i="3"/>
  <c r="P96" i="3"/>
  <c r="I96" i="3"/>
  <c r="J97" i="3"/>
  <c r="A96" i="3"/>
  <c r="I97" i="3"/>
  <c r="A97" i="3"/>
  <c r="P98" i="3"/>
  <c r="I98" i="3"/>
  <c r="A98" i="3"/>
  <c r="H98" i="3"/>
  <c r="J99" i="3"/>
  <c r="J98" i="3"/>
  <c r="H99" i="3"/>
  <c r="A99" i="3"/>
  <c r="J100" i="3"/>
  <c r="A100" i="3"/>
  <c r="H100" i="3"/>
  <c r="P100" i="3"/>
  <c r="I100" i="3"/>
  <c r="I101" i="3"/>
  <c r="A101" i="3"/>
  <c r="P101" i="3"/>
  <c r="J101" i="3"/>
  <c r="I112" i="3"/>
  <c r="J117" i="3"/>
  <c r="I122" i="3"/>
  <c r="A111" i="3"/>
  <c r="H102" i="3"/>
  <c r="A132" i="3"/>
  <c r="H103" i="3"/>
  <c r="I104" i="3"/>
  <c r="J128" i="3"/>
  <c r="I106" i="3"/>
  <c r="A135" i="3"/>
  <c r="H119" i="3"/>
  <c r="I116" i="3"/>
  <c r="J143" i="3"/>
  <c r="A115" i="3"/>
  <c r="A125" i="3"/>
  <c r="A110" i="3"/>
  <c r="I131" i="3"/>
  <c r="P107" i="3"/>
  <c r="I136" i="3"/>
  <c r="H132" i="3"/>
  <c r="H136" i="3"/>
  <c r="P133" i="3"/>
  <c r="I118" i="3"/>
  <c r="H117" i="3"/>
  <c r="J129" i="3"/>
  <c r="H120" i="3"/>
  <c r="I126" i="3"/>
  <c r="A133" i="3"/>
  <c r="J118" i="3"/>
  <c r="A137" i="3"/>
  <c r="H112" i="3"/>
  <c r="I121" i="3"/>
  <c r="J134" i="3"/>
  <c r="I123" i="3"/>
  <c r="P119" i="3"/>
  <c r="I141" i="3"/>
  <c r="I137" i="3"/>
  <c r="P144" i="3"/>
  <c r="P139" i="3"/>
  <c r="A117" i="3"/>
  <c r="P128" i="3"/>
  <c r="H127" i="3"/>
  <c r="J108" i="3"/>
  <c r="P140" i="3"/>
  <c r="H131" i="3"/>
  <c r="J119" i="3"/>
  <c r="J104" i="3"/>
  <c r="H115" i="3"/>
  <c r="P137" i="3"/>
  <c r="A123" i="3"/>
  <c r="P131" i="3"/>
  <c r="P117" i="3"/>
  <c r="J132" i="3"/>
  <c r="J139" i="3"/>
  <c r="P136" i="3"/>
  <c r="P113" i="3"/>
  <c r="J109" i="3"/>
  <c r="J123" i="3"/>
  <c r="A113" i="3"/>
  <c r="H118" i="3"/>
  <c r="P126" i="3"/>
  <c r="P123" i="3"/>
  <c r="J136" i="3"/>
  <c r="J110" i="3"/>
  <c r="A120" i="3"/>
  <c r="P132" i="3"/>
  <c r="H144" i="3"/>
  <c r="I143" i="3"/>
  <c r="I111" i="3"/>
  <c r="J144" i="3"/>
  <c r="A140" i="3"/>
  <c r="J113" i="3"/>
  <c r="I130" i="3"/>
  <c r="P138" i="3"/>
  <c r="I138" i="3"/>
  <c r="I110" i="3"/>
  <c r="H137" i="3"/>
  <c r="P115" i="3"/>
  <c r="A131" i="3"/>
  <c r="P120" i="3"/>
  <c r="H122" i="3"/>
  <c r="A105" i="3"/>
  <c r="I117" i="3"/>
  <c r="P121" i="3"/>
  <c r="H129" i="3"/>
  <c r="P112" i="3"/>
  <c r="P142" i="3"/>
  <c r="J137" i="3"/>
  <c r="A143" i="3"/>
  <c r="J125" i="3"/>
  <c r="P105" i="3"/>
  <c r="J141" i="3"/>
  <c r="J112" i="3"/>
  <c r="I107" i="3"/>
  <c r="J142" i="3"/>
  <c r="P143" i="3"/>
  <c r="J111" i="3"/>
  <c r="H110" i="3"/>
  <c r="A112" i="3"/>
  <c r="J105" i="3"/>
  <c r="J121" i="3"/>
  <c r="H130" i="3"/>
  <c r="I139" i="3"/>
  <c r="J114" i="3"/>
  <c r="H142" i="3"/>
  <c r="P130" i="3"/>
  <c r="A118" i="3"/>
  <c r="I120" i="3"/>
  <c r="P124" i="3"/>
  <c r="H141" i="3"/>
  <c r="A108" i="3"/>
  <c r="A122" i="3"/>
  <c r="P110" i="3"/>
  <c r="J102" i="3"/>
  <c r="H139" i="3"/>
  <c r="H105" i="3"/>
  <c r="I127" i="3"/>
  <c r="H135" i="3"/>
  <c r="J135" i="3"/>
  <c r="J107" i="3"/>
  <c r="H143" i="3"/>
  <c r="I128" i="3"/>
  <c r="A109" i="3"/>
  <c r="H123" i="3"/>
  <c r="P135" i="3"/>
  <c r="I124" i="3"/>
  <c r="P122" i="3"/>
  <c r="H111" i="3"/>
  <c r="H138" i="3"/>
  <c r="H106" i="3"/>
  <c r="H121" i="3"/>
  <c r="J131" i="3"/>
  <c r="I144" i="3"/>
  <c r="P127" i="3"/>
  <c r="I140" i="3"/>
  <c r="A144" i="3"/>
  <c r="A102" i="3"/>
  <c r="P106" i="3"/>
  <c r="A107" i="3"/>
  <c r="H107" i="3"/>
  <c r="H128" i="3"/>
  <c r="A106" i="3"/>
  <c r="P104" i="3"/>
  <c r="H109" i="3"/>
  <c r="A127" i="3"/>
  <c r="I103" i="3"/>
  <c r="A134" i="3"/>
  <c r="I119" i="3"/>
  <c r="I142" i="3"/>
  <c r="J140" i="3"/>
  <c r="I133" i="3"/>
  <c r="P129" i="3"/>
  <c r="P134" i="3"/>
  <c r="J122" i="3"/>
  <c r="J127" i="3"/>
  <c r="J124" i="3"/>
  <c r="J130" i="3"/>
  <c r="A141" i="3"/>
  <c r="P125" i="3"/>
  <c r="A119" i="3"/>
  <c r="J106" i="3"/>
  <c r="P116" i="3"/>
  <c r="P108" i="3"/>
  <c r="H133" i="3"/>
  <c r="H114" i="3"/>
  <c r="J133" i="3"/>
  <c r="I134" i="3"/>
  <c r="A121" i="3"/>
  <c r="A104" i="3"/>
  <c r="A114" i="3"/>
  <c r="A142" i="3"/>
  <c r="I102" i="3"/>
  <c r="J138" i="3"/>
  <c r="A128" i="3"/>
  <c r="H104" i="3"/>
  <c r="I125" i="3"/>
  <c r="J115" i="3"/>
  <c r="P114" i="3"/>
  <c r="H140" i="3"/>
  <c r="I105" i="3"/>
  <c r="H125" i="3"/>
  <c r="I129" i="3"/>
  <c r="I114" i="3"/>
  <c r="H124" i="3"/>
  <c r="P141" i="3"/>
  <c r="A126" i="3"/>
  <c r="P118" i="3"/>
  <c r="H116" i="3"/>
  <c r="I113" i="3"/>
  <c r="H113" i="3"/>
  <c r="I108" i="3"/>
  <c r="J116" i="3"/>
  <c r="I115" i="3"/>
  <c r="I132" i="3"/>
  <c r="A129" i="3"/>
  <c r="I135" i="3"/>
  <c r="A139" i="3"/>
  <c r="J120" i="3"/>
  <c r="I109" i="3"/>
  <c r="A130" i="3"/>
  <c r="H134" i="3"/>
  <c r="A136" i="3"/>
  <c r="A138" i="3"/>
  <c r="P109" i="3"/>
  <c r="H126" i="3"/>
  <c r="J126" i="3"/>
  <c r="H108" i="3"/>
  <c r="A116" i="3"/>
  <c r="P111" i="3"/>
  <c r="A103" i="3"/>
  <c r="P103" i="3"/>
  <c r="J103" i="3"/>
  <c r="I99" i="3"/>
  <c r="J447" i="19" l="1"/>
  <c r="J448" i="19" s="1"/>
  <c r="J449" i="19" s="1"/>
  <c r="CJ269" i="20"/>
  <c r="DN269" i="20"/>
  <c r="DM269" i="20"/>
  <c r="DF269" i="20"/>
  <c r="DE269" i="20"/>
  <c r="DO269" i="20"/>
  <c r="DG269" i="20"/>
  <c r="CT270" i="20"/>
  <c r="BB271" i="20"/>
  <c r="BS270" i="20"/>
  <c r="CY270" i="20"/>
  <c r="CW270" i="20"/>
  <c r="BQ270" i="20"/>
  <c r="BN270" i="20"/>
  <c r="CI270" i="20"/>
  <c r="CD270" i="20"/>
  <c r="CF270" i="20" s="1"/>
  <c r="DK270" i="20"/>
  <c r="BE271" i="20"/>
  <c r="BY270" i="20"/>
  <c r="CA270" i="20" s="1"/>
  <c r="BO270" i="20"/>
  <c r="DC270" i="20"/>
  <c r="BM270" i="20"/>
  <c r="CS270" i="20"/>
  <c r="AV271" i="20"/>
  <c r="CJ270" i="20" l="1"/>
  <c r="CK270" i="20" s="1"/>
  <c r="CK269" i="20"/>
  <c r="CL269" i="20"/>
  <c r="CM269" i="20"/>
  <c r="CS271" i="20"/>
  <c r="AV272" i="20"/>
  <c r="BM271" i="20"/>
  <c r="DO270" i="20"/>
  <c r="DG270" i="20"/>
  <c r="DF270" i="20"/>
  <c r="DE270" i="20"/>
  <c r="BS271" i="20"/>
  <c r="BQ271" i="20"/>
  <c r="BB272" i="20"/>
  <c r="BN271" i="20"/>
  <c r="CT271" i="20"/>
  <c r="CY271" i="20"/>
  <c r="CW271" i="20"/>
  <c r="CI271" i="20"/>
  <c r="BO271" i="20"/>
  <c r="BY271" i="20"/>
  <c r="CA271" i="20" s="1"/>
  <c r="DC271" i="20"/>
  <c r="DK271" i="20"/>
  <c r="CD271" i="20"/>
  <c r="CF271" i="20" s="1"/>
  <c r="BE272" i="20"/>
  <c r="DM270" i="20"/>
  <c r="DN270" i="20"/>
  <c r="J450" i="19"/>
  <c r="CL270" i="20" l="1"/>
  <c r="CJ271" i="20"/>
  <c r="CM271" i="20" s="1"/>
  <c r="CM270" i="20"/>
  <c r="DN271" i="20"/>
  <c r="DM271" i="20"/>
  <c r="BN272" i="20"/>
  <c r="CT272" i="20"/>
  <c r="BQ272" i="20"/>
  <c r="BS272" i="20"/>
  <c r="BB273" i="20"/>
  <c r="CY272" i="20"/>
  <c r="CW272" i="20"/>
  <c r="BO272" i="20"/>
  <c r="CI272" i="20"/>
  <c r="DK272" i="20"/>
  <c r="BY272" i="20"/>
  <c r="CA272" i="20" s="1"/>
  <c r="BE273" i="20"/>
  <c r="DC272" i="20"/>
  <c r="CD272" i="20"/>
  <c r="CF272" i="20" s="1"/>
  <c r="DE271" i="20"/>
  <c r="DF271" i="20"/>
  <c r="DG271" i="20"/>
  <c r="DO271" i="20"/>
  <c r="AV273" i="20"/>
  <c r="BM272" i="20"/>
  <c r="CS272" i="20"/>
  <c r="J451" i="19"/>
  <c r="CJ272" i="20" l="1"/>
  <c r="CM272" i="20" s="1"/>
  <c r="CL271" i="20"/>
  <c r="CK271" i="20"/>
  <c r="DF272" i="20"/>
  <c r="DO272" i="20"/>
  <c r="DG272" i="20"/>
  <c r="DE272" i="20"/>
  <c r="CY273" i="20"/>
  <c r="BB274" i="20"/>
  <c r="BQ273" i="20"/>
  <c r="BN273" i="20"/>
  <c r="CT273" i="20"/>
  <c r="BS273" i="20"/>
  <c r="CW273" i="20"/>
  <c r="CS273" i="20"/>
  <c r="BM273" i="20"/>
  <c r="AV274" i="20"/>
  <c r="DC273" i="20"/>
  <c r="BE274" i="20"/>
  <c r="CI273" i="20"/>
  <c r="CD273" i="20"/>
  <c r="CF273" i="20" s="1"/>
  <c r="BY273" i="20"/>
  <c r="CA273" i="20" s="1"/>
  <c r="BO273" i="20"/>
  <c r="DK273" i="20"/>
  <c r="DM272" i="20"/>
  <c r="DN272" i="20"/>
  <c r="J452" i="19"/>
  <c r="CL272" i="20" l="1"/>
  <c r="CJ273" i="20"/>
  <c r="CM273" i="20" s="1"/>
  <c r="CK272" i="20"/>
  <c r="BE275" i="20"/>
  <c r="BO274" i="20"/>
  <c r="DK274" i="20"/>
  <c r="DC274" i="20"/>
  <c r="BY274" i="20"/>
  <c r="CA274" i="20" s="1"/>
  <c r="CD274" i="20"/>
  <c r="CF274" i="20" s="1"/>
  <c r="CI274" i="20"/>
  <c r="DG273" i="20"/>
  <c r="DF273" i="20"/>
  <c r="DO273" i="20"/>
  <c r="DE273" i="20"/>
  <c r="AV275" i="20"/>
  <c r="CS274" i="20"/>
  <c r="BM274" i="20"/>
  <c r="BS274" i="20"/>
  <c r="CW274" i="20"/>
  <c r="BN274" i="20"/>
  <c r="BQ274" i="20"/>
  <c r="CT274" i="20"/>
  <c r="CY274" i="20"/>
  <c r="BB275" i="20"/>
  <c r="DM273" i="20"/>
  <c r="DN273" i="20"/>
  <c r="J453" i="19"/>
  <c r="CL273" i="20" l="1"/>
  <c r="CJ274" i="20"/>
  <c r="CK274" i="20" s="1"/>
  <c r="CK273" i="20"/>
  <c r="BM275" i="20"/>
  <c r="CS275" i="20"/>
  <c r="AV276" i="20"/>
  <c r="DG274" i="20"/>
  <c r="DF274" i="20"/>
  <c r="DE274" i="20"/>
  <c r="DO274" i="20"/>
  <c r="BN275" i="20"/>
  <c r="BQ275" i="20"/>
  <c r="BS275" i="20"/>
  <c r="CW275" i="20"/>
  <c r="CY275" i="20"/>
  <c r="CT275" i="20"/>
  <c r="BB276" i="20"/>
  <c r="DN274" i="20"/>
  <c r="DM274" i="20"/>
  <c r="DC275" i="20"/>
  <c r="BO275" i="20"/>
  <c r="BY275" i="20"/>
  <c r="CA275" i="20" s="1"/>
  <c r="CD275" i="20"/>
  <c r="CF275" i="20" s="1"/>
  <c r="DK275" i="20"/>
  <c r="CI275" i="20"/>
  <c r="BE276" i="20"/>
  <c r="J454" i="19"/>
  <c r="CL274" i="20" l="1"/>
  <c r="CM274" i="20"/>
  <c r="CJ275" i="20"/>
  <c r="CL275" i="20" s="1"/>
  <c r="BS276" i="20"/>
  <c r="CY276" i="20"/>
  <c r="CT276" i="20"/>
  <c r="CW276" i="20"/>
  <c r="BQ276" i="20"/>
  <c r="BN276" i="20"/>
  <c r="BB277" i="20"/>
  <c r="AV277" i="20"/>
  <c r="BM276" i="20"/>
  <c r="CS276" i="20"/>
  <c r="DG275" i="20"/>
  <c r="DO275" i="20"/>
  <c r="DE275" i="20"/>
  <c r="DF275" i="20"/>
  <c r="DM275" i="20"/>
  <c r="DN275" i="20"/>
  <c r="BE277" i="20"/>
  <c r="DC276" i="20"/>
  <c r="CD276" i="20"/>
  <c r="CF276" i="20" s="1"/>
  <c r="DK276" i="20"/>
  <c r="CI276" i="20"/>
  <c r="BO276" i="20"/>
  <c r="BY276" i="20"/>
  <c r="CA276" i="20" s="1"/>
  <c r="J455" i="19"/>
  <c r="CM275" i="20" l="1"/>
  <c r="CK275" i="20"/>
  <c r="CJ276" i="20"/>
  <c r="CK276" i="20" s="1"/>
  <c r="DM276" i="20"/>
  <c r="DN276" i="20"/>
  <c r="CS277" i="20"/>
  <c r="AV278" i="20"/>
  <c r="BM277" i="20"/>
  <c r="BB278" i="20"/>
  <c r="BS277" i="20"/>
  <c r="BQ277" i="20"/>
  <c r="BN277" i="20"/>
  <c r="CY277" i="20"/>
  <c r="CW277" i="20"/>
  <c r="CT277" i="20"/>
  <c r="DE276" i="20"/>
  <c r="DG276" i="20"/>
  <c r="DO276" i="20"/>
  <c r="DF276" i="20"/>
  <c r="CI277" i="20"/>
  <c r="BO277" i="20"/>
  <c r="CD277" i="20"/>
  <c r="CF277" i="20" s="1"/>
  <c r="DC277" i="20"/>
  <c r="BE278" i="20"/>
  <c r="DK277" i="20"/>
  <c r="BY277" i="20"/>
  <c r="CA277" i="20" s="1"/>
  <c r="J456" i="19"/>
  <c r="CL276" i="20" l="1"/>
  <c r="CM276" i="20"/>
  <c r="CJ277" i="20"/>
  <c r="CL277" i="20" s="1"/>
  <c r="DM277" i="20"/>
  <c r="DN277" i="20"/>
  <c r="BQ278" i="20"/>
  <c r="CW278" i="20"/>
  <c r="BN278" i="20"/>
  <c r="BB279" i="20"/>
  <c r="BS278" i="20"/>
  <c r="CY278" i="20"/>
  <c r="CT278" i="20"/>
  <c r="DF277" i="20"/>
  <c r="DO277" i="20"/>
  <c r="DG277" i="20"/>
  <c r="DE277" i="20"/>
  <c r="BM278" i="20"/>
  <c r="AV279" i="20"/>
  <c r="CS278" i="20"/>
  <c r="BO278" i="20"/>
  <c r="CI278" i="20"/>
  <c r="BY278" i="20"/>
  <c r="CA278" i="20" s="1"/>
  <c r="BE279" i="20"/>
  <c r="DK278" i="20"/>
  <c r="DC278" i="20"/>
  <c r="CD278" i="20"/>
  <c r="CF278" i="20" s="1"/>
  <c r="J457" i="19"/>
  <c r="I117" i="19" s="1"/>
  <c r="CJ278" i="20" l="1"/>
  <c r="CL278" i="20" s="1"/>
  <c r="CK277" i="20"/>
  <c r="CM277" i="20"/>
  <c r="BM279" i="20"/>
  <c r="CS279" i="20"/>
  <c r="AV280" i="20"/>
  <c r="DO278" i="20"/>
  <c r="DE278" i="20"/>
  <c r="DF278" i="20"/>
  <c r="DG278" i="20"/>
  <c r="BN279" i="20"/>
  <c r="BS279" i="20"/>
  <c r="CY279" i="20"/>
  <c r="BB280" i="20"/>
  <c r="BQ279" i="20"/>
  <c r="CT279" i="20"/>
  <c r="CW279" i="20"/>
  <c r="DM278" i="20"/>
  <c r="DN278" i="20"/>
  <c r="DK279" i="20"/>
  <c r="DC279" i="20"/>
  <c r="BO279" i="20"/>
  <c r="CI279" i="20"/>
  <c r="BY279" i="20"/>
  <c r="CA279" i="20" s="1"/>
  <c r="BE280" i="20"/>
  <c r="CD279" i="20"/>
  <c r="CF279" i="20" s="1"/>
  <c r="I76" i="19"/>
  <c r="P67" i="19"/>
  <c r="P64" i="19"/>
  <c r="H64" i="19"/>
  <c r="H65" i="19"/>
  <c r="I65" i="19"/>
  <c r="A65" i="19"/>
  <c r="I64" i="19"/>
  <c r="H66" i="19"/>
  <c r="H67" i="19"/>
  <c r="A66" i="19"/>
  <c r="I66" i="19"/>
  <c r="J65" i="19"/>
  <c r="A67" i="19"/>
  <c r="J67" i="19"/>
  <c r="A64" i="19"/>
  <c r="P65" i="19"/>
  <c r="P66" i="19"/>
  <c r="J66" i="19"/>
  <c r="J64" i="19"/>
  <c r="I67" i="19"/>
  <c r="H78" i="19"/>
  <c r="J78" i="19"/>
  <c r="J77" i="19"/>
  <c r="H75" i="19"/>
  <c r="A78" i="19"/>
  <c r="H77" i="19"/>
  <c r="P78" i="19"/>
  <c r="A76" i="19"/>
  <c r="P76" i="19"/>
  <c r="I75" i="19"/>
  <c r="P68" i="19"/>
  <c r="I71" i="19"/>
  <c r="P69" i="19"/>
  <c r="J69" i="19"/>
  <c r="H69" i="19"/>
  <c r="I69" i="19"/>
  <c r="A69" i="19"/>
  <c r="I70" i="19"/>
  <c r="P70" i="19"/>
  <c r="A70" i="19"/>
  <c r="J70" i="19"/>
  <c r="P71" i="19"/>
  <c r="H68" i="19"/>
  <c r="H70" i="19"/>
  <c r="A68" i="19"/>
  <c r="P72" i="19"/>
  <c r="J68" i="19"/>
  <c r="I72" i="19"/>
  <c r="I68" i="19"/>
  <c r="H71" i="19"/>
  <c r="J72" i="19"/>
  <c r="A72" i="19"/>
  <c r="H72" i="19"/>
  <c r="A71" i="19"/>
  <c r="I74" i="19"/>
  <c r="J71" i="19"/>
  <c r="A74" i="19"/>
  <c r="I73" i="19"/>
  <c r="H73" i="19"/>
  <c r="H74" i="19"/>
  <c r="J73" i="19"/>
  <c r="P73" i="19"/>
  <c r="A73" i="19"/>
  <c r="P74" i="19"/>
  <c r="J75" i="19"/>
  <c r="J74" i="19"/>
  <c r="P75" i="19"/>
  <c r="J76" i="19"/>
  <c r="A77" i="19"/>
  <c r="A75" i="19"/>
  <c r="I77" i="19"/>
  <c r="P77" i="19"/>
  <c r="H76" i="19"/>
  <c r="J122" i="19"/>
  <c r="A142" i="19"/>
  <c r="A141" i="19"/>
  <c r="H137" i="19"/>
  <c r="H132" i="19"/>
  <c r="I143" i="19"/>
  <c r="J144" i="19"/>
  <c r="P136" i="19"/>
  <c r="P115" i="19"/>
  <c r="J121" i="19"/>
  <c r="P142" i="19"/>
  <c r="P108" i="19"/>
  <c r="H133" i="19"/>
  <c r="A110" i="19"/>
  <c r="I115" i="19"/>
  <c r="I139" i="19"/>
  <c r="A122" i="19"/>
  <c r="H128" i="19"/>
  <c r="I116" i="19"/>
  <c r="A108" i="19"/>
  <c r="A119" i="19"/>
  <c r="H136" i="19"/>
  <c r="P118" i="19"/>
  <c r="A109" i="19"/>
  <c r="P127" i="19"/>
  <c r="P144" i="19"/>
  <c r="H125" i="19"/>
  <c r="I130" i="19"/>
  <c r="J123" i="19"/>
  <c r="I108" i="19"/>
  <c r="A133" i="19"/>
  <c r="A112" i="19"/>
  <c r="A136" i="19"/>
  <c r="A125" i="19"/>
  <c r="I127" i="19"/>
  <c r="A111" i="19"/>
  <c r="H113" i="19"/>
  <c r="I113" i="19"/>
  <c r="I142" i="19"/>
  <c r="I128" i="19"/>
  <c r="J113" i="19"/>
  <c r="J132" i="19"/>
  <c r="H117" i="19"/>
  <c r="J127" i="19"/>
  <c r="P117" i="19"/>
  <c r="H129" i="19"/>
  <c r="A129" i="19"/>
  <c r="H115" i="19"/>
  <c r="H130" i="19"/>
  <c r="P126" i="19"/>
  <c r="H122" i="19"/>
  <c r="I132" i="19"/>
  <c r="H141" i="19"/>
  <c r="J117" i="19"/>
  <c r="H144" i="19"/>
  <c r="J134" i="19"/>
  <c r="I120" i="19"/>
  <c r="H116" i="19"/>
  <c r="J126" i="19"/>
  <c r="A138" i="19"/>
  <c r="P132" i="19"/>
  <c r="J143" i="19"/>
  <c r="H131" i="19"/>
  <c r="J116" i="19"/>
  <c r="J131" i="19"/>
  <c r="H124" i="19"/>
  <c r="H79" i="19"/>
  <c r="A132" i="19"/>
  <c r="A79" i="19"/>
  <c r="A127" i="19"/>
  <c r="P79" i="19"/>
  <c r="P139" i="19"/>
  <c r="P119" i="19"/>
  <c r="J79" i="19"/>
  <c r="J138" i="19"/>
  <c r="H110" i="19"/>
  <c r="J137" i="19"/>
  <c r="J136" i="19"/>
  <c r="I111" i="19"/>
  <c r="P133" i="19"/>
  <c r="P134" i="19"/>
  <c r="A144" i="19"/>
  <c r="P109" i="19"/>
  <c r="I122" i="19"/>
  <c r="J129" i="19"/>
  <c r="I134" i="19"/>
  <c r="H120" i="19"/>
  <c r="I135" i="19"/>
  <c r="J108" i="19"/>
  <c r="A131" i="19"/>
  <c r="P112" i="19"/>
  <c r="P111" i="19"/>
  <c r="H126" i="19"/>
  <c r="P97" i="19"/>
  <c r="A91" i="19"/>
  <c r="P135" i="19"/>
  <c r="A113" i="19"/>
  <c r="P138" i="19"/>
  <c r="A81" i="19"/>
  <c r="A80" i="19"/>
  <c r="P81" i="19"/>
  <c r="P80" i="19"/>
  <c r="I80" i="19"/>
  <c r="P114" i="19"/>
  <c r="I81" i="19"/>
  <c r="J80" i="19"/>
  <c r="I87" i="19"/>
  <c r="I78" i="19"/>
  <c r="I79" i="19"/>
  <c r="H80" i="19"/>
  <c r="A90" i="19"/>
  <c r="P89" i="19"/>
  <c r="J86" i="19"/>
  <c r="H88" i="19"/>
  <c r="A89" i="19"/>
  <c r="J90" i="19"/>
  <c r="I86" i="19"/>
  <c r="P88" i="19"/>
  <c r="P90" i="19"/>
  <c r="A88" i="19"/>
  <c r="H101" i="19"/>
  <c r="J81" i="19"/>
  <c r="H81" i="19"/>
  <c r="A82" i="19"/>
  <c r="I82" i="19"/>
  <c r="J83" i="19"/>
  <c r="I83" i="19"/>
  <c r="H83" i="19"/>
  <c r="P82" i="19"/>
  <c r="J82" i="19"/>
  <c r="H82" i="19"/>
  <c r="A83" i="19"/>
  <c r="P83" i="19"/>
  <c r="P84" i="19"/>
  <c r="A84" i="19"/>
  <c r="J84" i="19"/>
  <c r="H85" i="19"/>
  <c r="H84" i="19"/>
  <c r="I84" i="19"/>
  <c r="A85" i="19"/>
  <c r="P85" i="19"/>
  <c r="J85" i="19"/>
  <c r="I85" i="19"/>
  <c r="A87" i="19"/>
  <c r="A86" i="19"/>
  <c r="I90" i="19"/>
  <c r="I89" i="19"/>
  <c r="J89" i="19"/>
  <c r="H90" i="19"/>
  <c r="J87" i="19"/>
  <c r="P87" i="19"/>
  <c r="I88" i="19"/>
  <c r="H86" i="19"/>
  <c r="H89" i="19"/>
  <c r="J88" i="19"/>
  <c r="H87" i="19"/>
  <c r="P86" i="19"/>
  <c r="J118" i="19"/>
  <c r="J133" i="19"/>
  <c r="A124" i="19"/>
  <c r="P140" i="19"/>
  <c r="I91" i="19"/>
  <c r="J91" i="19"/>
  <c r="I141" i="19"/>
  <c r="A137" i="19"/>
  <c r="H91" i="19"/>
  <c r="P91" i="19"/>
  <c r="A130" i="19"/>
  <c r="H112" i="19"/>
  <c r="A117" i="19"/>
  <c r="J114" i="19"/>
  <c r="A93" i="19"/>
  <c r="H92" i="19"/>
  <c r="H123" i="19"/>
  <c r="J135" i="19"/>
  <c r="P93" i="19"/>
  <c r="I93" i="19"/>
  <c r="H108" i="19"/>
  <c r="I121" i="19"/>
  <c r="H93" i="19"/>
  <c r="A92" i="19"/>
  <c r="J93" i="19"/>
  <c r="I112" i="19"/>
  <c r="I138" i="19"/>
  <c r="P124" i="19"/>
  <c r="I92" i="19"/>
  <c r="J92" i="19"/>
  <c r="P121" i="19"/>
  <c r="A134" i="19"/>
  <c r="P92" i="19"/>
  <c r="A128" i="19"/>
  <c r="I94" i="19"/>
  <c r="I110" i="19"/>
  <c r="P94" i="19"/>
  <c r="P125" i="19"/>
  <c r="J94" i="19"/>
  <c r="I140" i="19"/>
  <c r="H94" i="19"/>
  <c r="A94" i="19"/>
  <c r="J130" i="19"/>
  <c r="A143" i="19"/>
  <c r="A95" i="19"/>
  <c r="H140" i="19"/>
  <c r="I119" i="19"/>
  <c r="J95" i="19"/>
  <c r="J120" i="19"/>
  <c r="P95" i="19"/>
  <c r="I144" i="19"/>
  <c r="I131" i="19"/>
  <c r="I95" i="19"/>
  <c r="H95" i="19"/>
  <c r="H143" i="19"/>
  <c r="I96" i="19"/>
  <c r="P143" i="19"/>
  <c r="J96" i="19"/>
  <c r="J139" i="19"/>
  <c r="A96" i="19"/>
  <c r="P116" i="19"/>
  <c r="H96" i="19"/>
  <c r="P96" i="19"/>
  <c r="A135" i="19"/>
  <c r="A126" i="19"/>
  <c r="I97" i="19"/>
  <c r="J107" i="19"/>
  <c r="H107" i="19"/>
  <c r="A97" i="19"/>
  <c r="P113" i="19"/>
  <c r="H109" i="19"/>
  <c r="H97" i="19"/>
  <c r="J97" i="19"/>
  <c r="H135" i="19"/>
  <c r="J142" i="19"/>
  <c r="A99" i="19"/>
  <c r="J110" i="19"/>
  <c r="A115" i="19"/>
  <c r="P101" i="19"/>
  <c r="H118" i="19"/>
  <c r="H103" i="19"/>
  <c r="J98" i="19"/>
  <c r="H100" i="19"/>
  <c r="P123" i="19"/>
  <c r="J125" i="19"/>
  <c r="A100" i="19"/>
  <c r="P98" i="19"/>
  <c r="H105" i="19"/>
  <c r="I98" i="19"/>
  <c r="A98" i="19"/>
  <c r="I101" i="19"/>
  <c r="J99" i="19"/>
  <c r="I100" i="19"/>
  <c r="A101" i="19"/>
  <c r="H138" i="19"/>
  <c r="I109" i="19"/>
  <c r="I118" i="19"/>
  <c r="H134" i="19"/>
  <c r="I123" i="19"/>
  <c r="A116" i="19"/>
  <c r="P141" i="19"/>
  <c r="J128" i="19"/>
  <c r="P122" i="19"/>
  <c r="A139" i="19"/>
  <c r="P137" i="19"/>
  <c r="I136" i="19"/>
  <c r="I114" i="19"/>
  <c r="A120" i="19"/>
  <c r="J111" i="19"/>
  <c r="J109" i="19"/>
  <c r="I133" i="19"/>
  <c r="H114" i="19"/>
  <c r="A140" i="19"/>
  <c r="I137" i="19"/>
  <c r="P131" i="19"/>
  <c r="P128" i="19"/>
  <c r="J119" i="19"/>
  <c r="P105" i="19"/>
  <c r="A114" i="19"/>
  <c r="I129" i="19"/>
  <c r="H121" i="19"/>
  <c r="H139" i="19"/>
  <c r="I126" i="19"/>
  <c r="J140" i="19"/>
  <c r="J115" i="19"/>
  <c r="P129" i="19"/>
  <c r="H127" i="19"/>
  <c r="H119" i="19"/>
  <c r="H142" i="19"/>
  <c r="P104" i="19"/>
  <c r="A118" i="19"/>
  <c r="P110" i="19"/>
  <c r="H111" i="19"/>
  <c r="P120" i="19"/>
  <c r="J141" i="19"/>
  <c r="P130" i="19"/>
  <c r="I125" i="19"/>
  <c r="A121" i="19"/>
  <c r="I124" i="19"/>
  <c r="A123" i="19"/>
  <c r="J124" i="19"/>
  <c r="A103" i="19"/>
  <c r="A106" i="19"/>
  <c r="J112" i="19"/>
  <c r="H98" i="19"/>
  <c r="I99" i="19"/>
  <c r="P99" i="19"/>
  <c r="H99" i="19"/>
  <c r="J100" i="19"/>
  <c r="J101" i="19"/>
  <c r="P100" i="19"/>
  <c r="I102" i="19"/>
  <c r="J103" i="19"/>
  <c r="H102" i="19"/>
  <c r="I103" i="19"/>
  <c r="P103" i="19"/>
  <c r="P102" i="19"/>
  <c r="J102" i="19"/>
  <c r="A102" i="19"/>
  <c r="P107" i="19"/>
  <c r="I105" i="19"/>
  <c r="I106" i="19"/>
  <c r="P106" i="19"/>
  <c r="J105" i="19"/>
  <c r="A105" i="19"/>
  <c r="I104" i="19"/>
  <c r="H106" i="19"/>
  <c r="J104" i="19"/>
  <c r="A104" i="19"/>
  <c r="H104" i="19"/>
  <c r="I107" i="19"/>
  <c r="J106" i="19"/>
  <c r="A107" i="19"/>
  <c r="CK278" i="20" l="1"/>
  <c r="CM278" i="20"/>
  <c r="CJ279" i="20"/>
  <c r="BE281" i="20"/>
  <c r="BO280" i="20"/>
  <c r="CI280" i="20"/>
  <c r="BY280" i="20"/>
  <c r="CA280" i="20" s="1"/>
  <c r="DC280" i="20"/>
  <c r="DK280" i="20"/>
  <c r="CD280" i="20"/>
  <c r="CF280" i="20" s="1"/>
  <c r="BN280" i="20"/>
  <c r="CY280" i="20"/>
  <c r="BQ280" i="20"/>
  <c r="BS280" i="20"/>
  <c r="BB281" i="20"/>
  <c r="CW280" i="20"/>
  <c r="CT280" i="20"/>
  <c r="BM280" i="20"/>
  <c r="CS280" i="20"/>
  <c r="AV281" i="20"/>
  <c r="DG279" i="20"/>
  <c r="DE279" i="20"/>
  <c r="DF279" i="20"/>
  <c r="DO279" i="20"/>
  <c r="DM279" i="20"/>
  <c r="DN279" i="20"/>
  <c r="CJ280" i="20" l="1"/>
  <c r="CM280" i="20" s="1"/>
  <c r="CK279" i="20"/>
  <c r="CL279" i="20"/>
  <c r="CM279" i="20"/>
  <c r="DN280" i="20"/>
  <c r="DM280" i="20"/>
  <c r="DF280" i="20"/>
  <c r="DE280" i="20"/>
  <c r="DO280" i="20"/>
  <c r="DG280" i="20"/>
  <c r="BN281" i="20"/>
  <c r="BS281" i="20"/>
  <c r="BB282" i="20"/>
  <c r="BQ281" i="20"/>
  <c r="CW281" i="20"/>
  <c r="CY281" i="20"/>
  <c r="CT281" i="20"/>
  <c r="BM281" i="20"/>
  <c r="AV282" i="20"/>
  <c r="CS281" i="20"/>
  <c r="BY281" i="20"/>
  <c r="CA281" i="20" s="1"/>
  <c r="BO281" i="20"/>
  <c r="CI281" i="20"/>
  <c r="DK281" i="20"/>
  <c r="CD281" i="20"/>
  <c r="CF281" i="20" s="1"/>
  <c r="DC281" i="20"/>
  <c r="BE282" i="20"/>
  <c r="CK280" i="20" l="1"/>
  <c r="CJ281" i="20"/>
  <c r="CL281" i="20" s="1"/>
  <c r="CL280" i="20"/>
  <c r="CI282" i="20"/>
  <c r="CJ282" i="20" s="1"/>
  <c r="CL282" i="20" s="1"/>
  <c r="BE283" i="20"/>
  <c r="DK282" i="20"/>
  <c r="BY282" i="20"/>
  <c r="CA282" i="20" s="1"/>
  <c r="BO282" i="20"/>
  <c r="DC282" i="20"/>
  <c r="CD282" i="20"/>
  <c r="CF282" i="20" s="1"/>
  <c r="CS282" i="20"/>
  <c r="BM282" i="20"/>
  <c r="AV283" i="20"/>
  <c r="DE281" i="20"/>
  <c r="DF281" i="20"/>
  <c r="DG281" i="20"/>
  <c r="DO281" i="20"/>
  <c r="DM281" i="20"/>
  <c r="DN281" i="20"/>
  <c r="BS282" i="20"/>
  <c r="CY282" i="20"/>
  <c r="CT282" i="20"/>
  <c r="CW282" i="20"/>
  <c r="BN282" i="20"/>
  <c r="BQ282" i="20"/>
  <c r="BB283" i="20"/>
  <c r="CK282" i="20" l="1"/>
  <c r="CM281" i="20"/>
  <c r="CM282" i="20"/>
  <c r="CK281" i="20"/>
  <c r="DF282" i="20"/>
  <c r="DG282" i="20"/>
  <c r="DO282" i="20"/>
  <c r="DE282" i="20"/>
  <c r="BN283" i="20"/>
  <c r="CT283" i="20"/>
  <c r="BS283" i="20"/>
  <c r="BQ283" i="20"/>
  <c r="CY283" i="20"/>
  <c r="CW283" i="20"/>
  <c r="BB284" i="20"/>
  <c r="DN282" i="20"/>
  <c r="DM282" i="20"/>
  <c r="CS283" i="20"/>
  <c r="AV284" i="20"/>
  <c r="BM283" i="20"/>
  <c r="BO283" i="20"/>
  <c r="BY283" i="20"/>
  <c r="CA283" i="20" s="1"/>
  <c r="CI283" i="20"/>
  <c r="DC283" i="20"/>
  <c r="CD283" i="20"/>
  <c r="CF283" i="20" s="1"/>
  <c r="DK283" i="20"/>
  <c r="BE284" i="20"/>
  <c r="CJ283" i="20" l="1"/>
  <c r="CL283" i="20" s="1"/>
  <c r="BE285" i="20"/>
  <c r="CI284" i="20"/>
  <c r="CJ284" i="20" s="1"/>
  <c r="CL284" i="20" s="1"/>
  <c r="DK284" i="20"/>
  <c r="CD284" i="20"/>
  <c r="CF284" i="20" s="1"/>
  <c r="BY284" i="20"/>
  <c r="CA284" i="20" s="1"/>
  <c r="DC284" i="20"/>
  <c r="BO284" i="20"/>
  <c r="CS284" i="20"/>
  <c r="AV285" i="20"/>
  <c r="BM284" i="20"/>
  <c r="DO283" i="20"/>
  <c r="DE283" i="20"/>
  <c r="DF283" i="20"/>
  <c r="DG283" i="20"/>
  <c r="CW284" i="20"/>
  <c r="CT284" i="20"/>
  <c r="BS284" i="20"/>
  <c r="CY284" i="20"/>
  <c r="BN284" i="20"/>
  <c r="BB285" i="20"/>
  <c r="BQ284" i="20"/>
  <c r="DM283" i="20"/>
  <c r="DN283" i="20"/>
  <c r="CM284" i="20" l="1"/>
  <c r="CK284" i="20"/>
  <c r="CM283" i="20"/>
  <c r="CK283" i="20"/>
  <c r="DG284" i="20"/>
  <c r="DF284" i="20"/>
  <c r="DO284" i="20"/>
  <c r="DE284" i="20"/>
  <c r="BN285" i="20"/>
  <c r="CY285" i="20"/>
  <c r="BS285" i="20"/>
  <c r="BQ285" i="20"/>
  <c r="CW285" i="20"/>
  <c r="BB286" i="20"/>
  <c r="CT285" i="20"/>
  <c r="DN284" i="20"/>
  <c r="DM284" i="20"/>
  <c r="CS285" i="20"/>
  <c r="AV286" i="20"/>
  <c r="BM285" i="20"/>
  <c r="BE286" i="20"/>
  <c r="BO285" i="20"/>
  <c r="BY285" i="20"/>
  <c r="CA285" i="20" s="1"/>
  <c r="DC285" i="20"/>
  <c r="DK285" i="20"/>
  <c r="CD285" i="20"/>
  <c r="CF285" i="20" s="1"/>
  <c r="CI285" i="20"/>
  <c r="CJ285" i="20" l="1"/>
  <c r="CM285" i="20" s="1"/>
  <c r="BM286" i="20"/>
  <c r="AV287" i="20"/>
  <c r="CS286" i="20"/>
  <c r="DN285" i="20"/>
  <c r="DM285" i="20"/>
  <c r="DE285" i="20"/>
  <c r="DO285" i="20"/>
  <c r="DG285" i="20"/>
  <c r="DF285" i="20"/>
  <c r="BY286" i="20"/>
  <c r="CA286" i="20" s="1"/>
  <c r="CD286" i="20"/>
  <c r="CF286" i="20" s="1"/>
  <c r="DK286" i="20"/>
  <c r="BE287" i="20"/>
  <c r="BO286" i="20"/>
  <c r="DC286" i="20"/>
  <c r="CI286" i="20"/>
  <c r="CJ286" i="20" s="1"/>
  <c r="CK286" i="20" s="1"/>
  <c r="BS286" i="20"/>
  <c r="CT286" i="20"/>
  <c r="BQ286" i="20"/>
  <c r="BN286" i="20"/>
  <c r="BB287" i="20"/>
  <c r="CW286" i="20"/>
  <c r="CY286" i="20"/>
  <c r="CK285" i="20" l="1"/>
  <c r="CL285" i="20"/>
  <c r="CL286" i="20"/>
  <c r="CM286" i="20"/>
  <c r="BS287" i="20"/>
  <c r="BN287" i="20"/>
  <c r="CY287" i="20"/>
  <c r="BB288" i="20"/>
  <c r="BQ287" i="20"/>
  <c r="CW287" i="20"/>
  <c r="CT287" i="20"/>
  <c r="DK287" i="20"/>
  <c r="BE288" i="20"/>
  <c r="BY287" i="20"/>
  <c r="CA287" i="20" s="1"/>
  <c r="DC287" i="20"/>
  <c r="CI287" i="20"/>
  <c r="BO287" i="20"/>
  <c r="CD287" i="20"/>
  <c r="CF287" i="20" s="1"/>
  <c r="DN286" i="20"/>
  <c r="DM286" i="20"/>
  <c r="BM287" i="20"/>
  <c r="CS287" i="20"/>
  <c r="AV288" i="20"/>
  <c r="DG286" i="20"/>
  <c r="DO286" i="20"/>
  <c r="DF286" i="20"/>
  <c r="DE286" i="20"/>
  <c r="CJ287" i="20" l="1"/>
  <c r="CK287" i="20" s="1"/>
  <c r="DN287" i="20"/>
  <c r="DM287" i="20"/>
  <c r="CY288" i="20"/>
  <c r="BB289" i="20"/>
  <c r="CT288" i="20"/>
  <c r="BN288" i="20"/>
  <c r="BS288" i="20"/>
  <c r="BQ288" i="20"/>
  <c r="CW288" i="20"/>
  <c r="BM288" i="20"/>
  <c r="AV289" i="20"/>
  <c r="CS288" i="20"/>
  <c r="DO287" i="20"/>
  <c r="DE287" i="20"/>
  <c r="DF287" i="20"/>
  <c r="DG287" i="20"/>
  <c r="BY288" i="20"/>
  <c r="CA288" i="20" s="1"/>
  <c r="DK288" i="20"/>
  <c r="CD288" i="20"/>
  <c r="CF288" i="20" s="1"/>
  <c r="BE289" i="20"/>
  <c r="CI288" i="20"/>
  <c r="BO288" i="20"/>
  <c r="DC288" i="20"/>
  <c r="CM287" i="20" l="1"/>
  <c r="CL287" i="20"/>
  <c r="CJ288" i="20"/>
  <c r="CL288" i="20" s="1"/>
  <c r="DF288" i="20"/>
  <c r="DO288" i="20"/>
  <c r="DG288" i="20"/>
  <c r="DE288" i="20"/>
  <c r="BO289" i="20"/>
  <c r="CD289" i="20"/>
  <c r="CF289" i="20" s="1"/>
  <c r="DC289" i="20"/>
  <c r="CI289" i="20"/>
  <c r="BE290" i="20"/>
  <c r="DK289" i="20"/>
  <c r="BY289" i="20"/>
  <c r="CA289" i="20" s="1"/>
  <c r="BS289" i="20"/>
  <c r="BN289" i="20"/>
  <c r="CW289" i="20"/>
  <c r="BB290" i="20"/>
  <c r="CT289" i="20"/>
  <c r="CY289" i="20"/>
  <c r="BQ289" i="20"/>
  <c r="DM288" i="20"/>
  <c r="DN288" i="20"/>
  <c r="CS289" i="20"/>
  <c r="BM289" i="20"/>
  <c r="AV290" i="20"/>
  <c r="CM288" i="20" l="1"/>
  <c r="CK288" i="20"/>
  <c r="CJ289" i="20"/>
  <c r="CL289" i="20" s="1"/>
  <c r="BN290" i="20"/>
  <c r="BS290" i="20"/>
  <c r="CW290" i="20"/>
  <c r="CT290" i="20"/>
  <c r="CY290" i="20"/>
  <c r="BB291" i="20"/>
  <c r="BQ290" i="20"/>
  <c r="DG289" i="20"/>
  <c r="DE289" i="20"/>
  <c r="DO289" i="20"/>
  <c r="DF289" i="20"/>
  <c r="BM290" i="20"/>
  <c r="AV291" i="20"/>
  <c r="CS290" i="20"/>
  <c r="DN289" i="20"/>
  <c r="DM289" i="20"/>
  <c r="CI290" i="20"/>
  <c r="BY290" i="20"/>
  <c r="CA290" i="20" s="1"/>
  <c r="BO290" i="20"/>
  <c r="BE291" i="20"/>
  <c r="DC290" i="20"/>
  <c r="CD290" i="20"/>
  <c r="CF290" i="20" s="1"/>
  <c r="DK290" i="20"/>
  <c r="CJ290" i="20" l="1"/>
  <c r="CL290" i="20" s="1"/>
  <c r="CK289" i="20"/>
  <c r="CM289" i="20"/>
  <c r="DF290" i="20"/>
  <c r="DE290" i="20"/>
  <c r="DO290" i="20"/>
  <c r="DG290" i="20"/>
  <c r="BS291" i="20"/>
  <c r="BQ291" i="20"/>
  <c r="CT291" i="20"/>
  <c r="CW291" i="20"/>
  <c r="BB292" i="20"/>
  <c r="BN291" i="20"/>
  <c r="CY291" i="20"/>
  <c r="CD291" i="20"/>
  <c r="CF291" i="20" s="1"/>
  <c r="BO291" i="20"/>
  <c r="DC291" i="20"/>
  <c r="BE292" i="20"/>
  <c r="BY291" i="20"/>
  <c r="CA291" i="20" s="1"/>
  <c r="CI291" i="20"/>
  <c r="CJ291" i="20" s="1"/>
  <c r="DK291" i="20"/>
  <c r="BM291" i="20"/>
  <c r="CS291" i="20"/>
  <c r="AV292" i="20"/>
  <c r="DM290" i="20"/>
  <c r="DN290" i="20"/>
  <c r="CM290" i="20" l="1"/>
  <c r="CK290" i="20"/>
  <c r="CL291" i="20"/>
  <c r="CK291" i="20"/>
  <c r="CM291" i="20"/>
  <c r="DF291" i="20"/>
  <c r="DE291" i="20"/>
  <c r="DG291" i="20"/>
  <c r="DO291" i="20"/>
  <c r="DK292" i="20"/>
  <c r="CI292" i="20"/>
  <c r="BO292" i="20"/>
  <c r="CD292" i="20"/>
  <c r="CF292" i="20" s="1"/>
  <c r="BY292" i="20"/>
  <c r="CA292" i="20" s="1"/>
  <c r="DC292" i="20"/>
  <c r="BE293" i="20"/>
  <c r="BM292" i="20"/>
  <c r="AV293" i="20"/>
  <c r="CS292" i="20"/>
  <c r="DN291" i="20"/>
  <c r="DM291" i="20"/>
  <c r="CT292" i="20"/>
  <c r="BB293" i="20"/>
  <c r="BN292" i="20"/>
  <c r="BS292" i="20"/>
  <c r="CW292" i="20"/>
  <c r="CY292" i="20"/>
  <c r="BQ292" i="20"/>
  <c r="CJ292" i="20" l="1"/>
  <c r="CK292" i="20" s="1"/>
  <c r="CS293" i="20"/>
  <c r="BM293" i="20"/>
  <c r="AV294" i="20"/>
  <c r="DN292" i="20"/>
  <c r="DM292" i="20"/>
  <c r="CD293" i="20"/>
  <c r="CF293" i="20" s="1"/>
  <c r="BO293" i="20"/>
  <c r="CI293" i="20"/>
  <c r="CJ293" i="20" s="1"/>
  <c r="CL293" i="20" s="1"/>
  <c r="DK293" i="20"/>
  <c r="BE294" i="20"/>
  <c r="BY293" i="20"/>
  <c r="CA293" i="20" s="1"/>
  <c r="DC293" i="20"/>
  <c r="BN293" i="20"/>
  <c r="CT293" i="20"/>
  <c r="BS293" i="20"/>
  <c r="CW293" i="20"/>
  <c r="CY293" i="20"/>
  <c r="BB294" i="20"/>
  <c r="BQ293" i="20"/>
  <c r="DG292" i="20"/>
  <c r="DO292" i="20"/>
  <c r="DF292" i="20"/>
  <c r="DE292" i="20"/>
  <c r="CM292" i="20" l="1"/>
  <c r="CL292" i="20"/>
  <c r="CM293" i="20"/>
  <c r="CK293" i="20"/>
  <c r="DF293" i="20"/>
  <c r="DG293" i="20"/>
  <c r="DE293" i="20"/>
  <c r="DO293" i="20"/>
  <c r="BN294" i="20"/>
  <c r="BQ294" i="20"/>
  <c r="BS294" i="20"/>
  <c r="CW294" i="20"/>
  <c r="BB295" i="20"/>
  <c r="BB263" i="21" s="1"/>
  <c r="BB264" i="21" s="1"/>
  <c r="CY294" i="20"/>
  <c r="CT294" i="20"/>
  <c r="CD294" i="20"/>
  <c r="CF294" i="20" s="1"/>
  <c r="CF295" i="20" s="1"/>
  <c r="CF298" i="20" s="1"/>
  <c r="BY294" i="20"/>
  <c r="CA294" i="20" s="1"/>
  <c r="CA295" i="20" s="1"/>
  <c r="CA298" i="20" s="1"/>
  <c r="BE295" i="20"/>
  <c r="BE263" i="21" s="1"/>
  <c r="BE264" i="21" s="1"/>
  <c r="CI294" i="20"/>
  <c r="DK294" i="20"/>
  <c r="BO294" i="20"/>
  <c r="DC294" i="20"/>
  <c r="CS294" i="20"/>
  <c r="AV295" i="20"/>
  <c r="AV263" i="21" s="1"/>
  <c r="AV264" i="21" s="1"/>
  <c r="BM294" i="20"/>
  <c r="DN293" i="20"/>
  <c r="DM293" i="20"/>
  <c r="I378" i="20" l="1"/>
  <c r="M379" i="20" s="1"/>
  <c r="CI295" i="20"/>
  <c r="CI298" i="20" s="1"/>
  <c r="CJ294" i="20"/>
  <c r="CJ295" i="20" s="1"/>
  <c r="DN294" i="20"/>
  <c r="DN295" i="20" s="1"/>
  <c r="DM294" i="20"/>
  <c r="DM295" i="20" s="1"/>
  <c r="CI264" i="21"/>
  <c r="CJ264" i="21" s="1"/>
  <c r="CL264" i="21" s="1"/>
  <c r="CD264" i="21"/>
  <c r="CF264" i="21" s="1"/>
  <c r="BE265" i="21"/>
  <c r="BO264" i="21"/>
  <c r="BY264" i="21"/>
  <c r="CA264" i="21" s="1"/>
  <c r="DC264" i="21"/>
  <c r="DK264" i="21"/>
  <c r="DE294" i="20"/>
  <c r="DE295" i="20" s="1"/>
  <c r="DO294" i="20"/>
  <c r="DO295" i="20" s="1"/>
  <c r="DG294" i="20"/>
  <c r="DG295" i="20" s="1"/>
  <c r="DF294" i="20"/>
  <c r="DF295" i="20" s="1"/>
  <c r="CS264" i="21"/>
  <c r="BM264" i="21"/>
  <c r="AV265" i="21"/>
  <c r="CW264" i="21"/>
  <c r="CT264" i="21"/>
  <c r="BN264" i="21"/>
  <c r="BS264" i="21"/>
  <c r="CY264" i="21"/>
  <c r="BQ264" i="21"/>
  <c r="BB265" i="21"/>
  <c r="J155" i="20" l="1"/>
  <c r="H152" i="20"/>
  <c r="H380" i="20"/>
  <c r="I380" i="20" s="1"/>
  <c r="Q18" i="9" s="1"/>
  <c r="H375" i="20" s="1"/>
  <c r="I375" i="20" s="1"/>
  <c r="E32" i="18" s="1"/>
  <c r="E35" i="18"/>
  <c r="CL294" i="20"/>
  <c r="CL295" i="20" s="1"/>
  <c r="CK294" i="20"/>
  <c r="CK295" i="20" s="1"/>
  <c r="CK264" i="21"/>
  <c r="CM264" i="21"/>
  <c r="CM294" i="20"/>
  <c r="CM295" i="20" s="1"/>
  <c r="BO265" i="21"/>
  <c r="BE266" i="21"/>
  <c r="CI265" i="21"/>
  <c r="CJ265" i="21" s="1"/>
  <c r="CK265" i="21" s="1"/>
  <c r="CD265" i="21"/>
  <c r="CF265" i="21" s="1"/>
  <c r="DC265" i="21"/>
  <c r="DK265" i="21"/>
  <c r="BY265" i="21"/>
  <c r="CA265" i="21" s="1"/>
  <c r="BN265" i="21"/>
  <c r="BS265" i="21"/>
  <c r="BB266" i="21"/>
  <c r="CY265" i="21"/>
  <c r="CT265" i="21"/>
  <c r="CW265" i="21"/>
  <c r="BQ265" i="21"/>
  <c r="CS265" i="21"/>
  <c r="AV266" i="21"/>
  <c r="BM265" i="21"/>
  <c r="DN264" i="21"/>
  <c r="DM264" i="21"/>
  <c r="DE264" i="21"/>
  <c r="DG264" i="21"/>
  <c r="DO264" i="21"/>
  <c r="DF264" i="21"/>
  <c r="E37" i="18" l="1"/>
  <c r="P404" i="20"/>
  <c r="P411" i="20" s="1"/>
  <c r="I404" i="20"/>
  <c r="H432" i="20" s="1"/>
  <c r="I432" i="20" s="1"/>
  <c r="J375" i="20"/>
  <c r="J376" i="20" s="1"/>
  <c r="J377" i="20" s="1"/>
  <c r="J378" i="20" s="1"/>
  <c r="J379" i="20" s="1"/>
  <c r="J380" i="20" s="1"/>
  <c r="J381" i="20" s="1"/>
  <c r="J382" i="20" s="1"/>
  <c r="J383" i="20" s="1"/>
  <c r="J384" i="20" s="1"/>
  <c r="J385" i="20" s="1"/>
  <c r="J386" i="20" s="1"/>
  <c r="J387" i="20" s="1"/>
  <c r="J388" i="20" s="1"/>
  <c r="J389" i="20" s="1"/>
  <c r="J390" i="20" s="1"/>
  <c r="J391" i="20" s="1"/>
  <c r="J392" i="20" s="1"/>
  <c r="J393" i="20" s="1"/>
  <c r="J394" i="20" s="1"/>
  <c r="J395" i="20" s="1"/>
  <c r="J396" i="20" s="1"/>
  <c r="J397" i="20" s="1"/>
  <c r="J398" i="20" s="1"/>
  <c r="J399" i="20" s="1"/>
  <c r="J400" i="20" s="1"/>
  <c r="J401" i="20" s="1"/>
  <c r="J402" i="20" s="1"/>
  <c r="J403" i="20" s="1"/>
  <c r="J404" i="20" s="1"/>
  <c r="J405" i="20" s="1"/>
  <c r="J406" i="20" s="1"/>
  <c r="CL265" i="21"/>
  <c r="CM265" i="21"/>
  <c r="BS266" i="21"/>
  <c r="BN266" i="21"/>
  <c r="CW266" i="21"/>
  <c r="BQ266" i="21"/>
  <c r="CT266" i="21"/>
  <c r="BB267" i="21"/>
  <c r="CY266" i="21"/>
  <c r="AV267" i="21"/>
  <c r="CS266" i="21"/>
  <c r="BM266" i="21"/>
  <c r="DM265" i="21"/>
  <c r="DN265" i="21"/>
  <c r="DG265" i="21"/>
  <c r="DE265" i="21"/>
  <c r="DF265" i="21"/>
  <c r="DO265" i="21"/>
  <c r="A165" i="20"/>
  <c r="A164" i="20"/>
  <c r="A157" i="20"/>
  <c r="A162" i="20"/>
  <c r="CI266" i="21"/>
  <c r="BY266" i="21"/>
  <c r="CA266" i="21" s="1"/>
  <c r="CD266" i="21"/>
  <c r="CF266" i="21" s="1"/>
  <c r="DC266" i="21"/>
  <c r="BE267" i="21"/>
  <c r="DK266" i="21"/>
  <c r="BO266" i="21"/>
  <c r="P408" i="20" l="1"/>
  <c r="H412" i="20"/>
  <c r="I412" i="20" s="1"/>
  <c r="E69" i="18" s="1"/>
  <c r="H408" i="20"/>
  <c r="I408" i="20" s="1"/>
  <c r="E65" i="18" s="1"/>
  <c r="P413" i="20"/>
  <c r="H411" i="20"/>
  <c r="I411" i="20" s="1"/>
  <c r="E68" i="18" s="1"/>
  <c r="H407" i="20"/>
  <c r="I407" i="20" s="1"/>
  <c r="E64" i="18" s="1"/>
  <c r="H409" i="20"/>
  <c r="I409" i="20" s="1"/>
  <c r="E66" i="18" s="1"/>
  <c r="P412" i="20"/>
  <c r="P409" i="20"/>
  <c r="E61" i="18"/>
  <c r="P407" i="20"/>
  <c r="CJ266" i="21"/>
  <c r="CM266" i="21" s="1"/>
  <c r="E89" i="18"/>
  <c r="R89" i="18" s="1"/>
  <c r="I17" i="18" s="1"/>
  <c r="M435" i="20"/>
  <c r="A172" i="20"/>
  <c r="F169" i="20"/>
  <c r="A177" i="20"/>
  <c r="A175" i="20"/>
  <c r="A169" i="20"/>
  <c r="A160" i="20"/>
  <c r="F160" i="20"/>
  <c r="BS267" i="21"/>
  <c r="BB268" i="21"/>
  <c r="BN267" i="21"/>
  <c r="CY267" i="21"/>
  <c r="CT267" i="21"/>
  <c r="BQ267" i="21"/>
  <c r="CW267" i="21"/>
  <c r="DM266" i="21"/>
  <c r="DN266" i="21"/>
  <c r="A167" i="20"/>
  <c r="F165" i="20"/>
  <c r="F167" i="20" s="1"/>
  <c r="A166" i="20"/>
  <c r="CD267" i="21"/>
  <c r="CF267" i="21" s="1"/>
  <c r="CI267" i="21"/>
  <c r="BY267" i="21"/>
  <c r="CA267" i="21" s="1"/>
  <c r="DK267" i="21"/>
  <c r="BO267" i="21"/>
  <c r="DC267" i="21"/>
  <c r="BE268" i="21"/>
  <c r="A161" i="20"/>
  <c r="F163" i="20"/>
  <c r="A163" i="20"/>
  <c r="DG266" i="21"/>
  <c r="DF266" i="21"/>
  <c r="DO266" i="21"/>
  <c r="DE266" i="21"/>
  <c r="A158" i="20"/>
  <c r="F158" i="20"/>
  <c r="AV268" i="21"/>
  <c r="BM267" i="21"/>
  <c r="CS267" i="21"/>
  <c r="F159" i="20"/>
  <c r="A159" i="20"/>
  <c r="P427" i="20" l="1"/>
  <c r="P428" i="20" s="1"/>
  <c r="I428" i="20"/>
  <c r="J407" i="20"/>
  <c r="J408" i="20" s="1"/>
  <c r="J409" i="20" s="1"/>
  <c r="J410" i="20" s="1"/>
  <c r="J411" i="20" s="1"/>
  <c r="J412" i="20" s="1"/>
  <c r="J413" i="20" s="1"/>
  <c r="J414" i="20" s="1"/>
  <c r="J415" i="20" s="1"/>
  <c r="J416" i="20" s="1"/>
  <c r="J417" i="20" s="1"/>
  <c r="J418" i="20" s="1"/>
  <c r="J419" i="20" s="1"/>
  <c r="J420" i="20" s="1"/>
  <c r="J421" i="20" s="1"/>
  <c r="J422" i="20" s="1"/>
  <c r="J423" i="20" s="1"/>
  <c r="J424" i="20" s="1"/>
  <c r="J425" i="20" s="1"/>
  <c r="J426" i="20" s="1"/>
  <c r="J427" i="20" s="1"/>
  <c r="CK266" i="21"/>
  <c r="CJ267" i="21"/>
  <c r="CL266" i="21"/>
  <c r="A178" i="20"/>
  <c r="A173" i="20"/>
  <c r="F174" i="20"/>
  <c r="A174" i="20"/>
  <c r="F170" i="20"/>
  <c r="F173" i="20" s="1"/>
  <c r="A170" i="20"/>
  <c r="AV269" i="21"/>
  <c r="CS268" i="21"/>
  <c r="BM268" i="21"/>
  <c r="BO268" i="21"/>
  <c r="BY268" i="21"/>
  <c r="CA268" i="21" s="1"/>
  <c r="CI268" i="21"/>
  <c r="CJ268" i="21" s="1"/>
  <c r="CM268" i="21" s="1"/>
  <c r="DK268" i="21"/>
  <c r="CD268" i="21"/>
  <c r="CF268" i="21" s="1"/>
  <c r="BE269" i="21"/>
  <c r="DC268" i="21"/>
  <c r="F162" i="20"/>
  <c r="DG267" i="21"/>
  <c r="DO267" i="21"/>
  <c r="DE267" i="21"/>
  <c r="DF267" i="21"/>
  <c r="F179" i="20"/>
  <c r="A171" i="20"/>
  <c r="F171" i="20"/>
  <c r="BB269" i="21"/>
  <c r="CY268" i="21"/>
  <c r="BQ268" i="21"/>
  <c r="BN268" i="21"/>
  <c r="BS268" i="21"/>
  <c r="CT268" i="21"/>
  <c r="CW268" i="21"/>
  <c r="F180" i="20"/>
  <c r="A180" i="20"/>
  <c r="A183" i="20"/>
  <c r="A186" i="20"/>
  <c r="A188" i="20"/>
  <c r="DM267" i="21"/>
  <c r="DN267" i="21"/>
  <c r="A176" i="20"/>
  <c r="F176" i="20"/>
  <c r="F178" i="20" s="1"/>
  <c r="J428" i="20" l="1"/>
  <c r="J429" i="20" s="1"/>
  <c r="CK268" i="21"/>
  <c r="CL268" i="21"/>
  <c r="G155" i="20"/>
  <c r="E85" i="18"/>
  <c r="I430" i="20"/>
  <c r="CM267" i="21"/>
  <c r="CL267" i="21"/>
  <c r="CK267" i="21"/>
  <c r="A185" i="20"/>
  <c r="F185" i="20"/>
  <c r="DN268" i="21"/>
  <c r="DM268" i="21"/>
  <c r="F182" i="20"/>
  <c r="A182" i="20"/>
  <c r="A184" i="20"/>
  <c r="BN269" i="21"/>
  <c r="BS269" i="21"/>
  <c r="CW269" i="21"/>
  <c r="CY269" i="21"/>
  <c r="BQ269" i="21"/>
  <c r="BB270" i="21"/>
  <c r="CT269" i="21"/>
  <c r="A189" i="20"/>
  <c r="A181" i="20"/>
  <c r="F181" i="20"/>
  <c r="F184" i="20" s="1"/>
  <c r="F187" i="20"/>
  <c r="F189" i="20" s="1"/>
  <c r="A187" i="20"/>
  <c r="DF268" i="21"/>
  <c r="DG268" i="21"/>
  <c r="DO268" i="21"/>
  <c r="DE268" i="21"/>
  <c r="CD269" i="21"/>
  <c r="CF269" i="21" s="1"/>
  <c r="BY269" i="21"/>
  <c r="CA269" i="21" s="1"/>
  <c r="BE270" i="21"/>
  <c r="DC269" i="21"/>
  <c r="DK269" i="21"/>
  <c r="BO269" i="21"/>
  <c r="CI269" i="21"/>
  <c r="CS269" i="21"/>
  <c r="AV270" i="21"/>
  <c r="BM269" i="21"/>
  <c r="F155" i="20" l="1"/>
  <c r="I447" i="20"/>
  <c r="E104" i="18" s="1"/>
  <c r="E87" i="18"/>
  <c r="J430" i="20"/>
  <c r="J431" i="20" s="1"/>
  <c r="J432" i="20" s="1"/>
  <c r="J433" i="20" s="1"/>
  <c r="CJ269" i="21"/>
  <c r="CM269" i="21" s="1"/>
  <c r="BQ270" i="21"/>
  <c r="BB271" i="21"/>
  <c r="CY270" i="21"/>
  <c r="CT270" i="21"/>
  <c r="BN270" i="21"/>
  <c r="BS270" i="21"/>
  <c r="CW270" i="21"/>
  <c r="DE269" i="21"/>
  <c r="DG269" i="21"/>
  <c r="DO269" i="21"/>
  <c r="DF269" i="21"/>
  <c r="BE271" i="21"/>
  <c r="DK270" i="21"/>
  <c r="DC270" i="21"/>
  <c r="BY270" i="21"/>
  <c r="CA270" i="21" s="1"/>
  <c r="BO270" i="21"/>
  <c r="CD270" i="21"/>
  <c r="CF270" i="21" s="1"/>
  <c r="CI270" i="21"/>
  <c r="BM270" i="21"/>
  <c r="CS270" i="21"/>
  <c r="AV271" i="21"/>
  <c r="DM269" i="21"/>
  <c r="DN269" i="21"/>
  <c r="CK269" i="21" l="1"/>
  <c r="CL269" i="21"/>
  <c r="CJ270" i="21"/>
  <c r="CL270" i="21" s="1"/>
  <c r="DE270" i="21"/>
  <c r="DO270" i="21"/>
  <c r="DG270" i="21"/>
  <c r="DF270" i="21"/>
  <c r="AV272" i="21"/>
  <c r="CS271" i="21"/>
  <c r="BM271" i="21"/>
  <c r="DM270" i="21"/>
  <c r="DN270" i="21"/>
  <c r="BO271" i="21"/>
  <c r="DC271" i="21"/>
  <c r="CD271" i="21"/>
  <c r="CF271" i="21" s="1"/>
  <c r="BY271" i="21"/>
  <c r="CA271" i="21" s="1"/>
  <c r="CI271" i="21"/>
  <c r="DK271" i="21"/>
  <c r="BE272" i="21"/>
  <c r="CY271" i="21"/>
  <c r="BN271" i="21"/>
  <c r="CW271" i="21"/>
  <c r="BQ271" i="21"/>
  <c r="BB272" i="21"/>
  <c r="CT271" i="21"/>
  <c r="BS271" i="21"/>
  <c r="J434" i="20"/>
  <c r="CM270" i="21" l="1"/>
  <c r="CK270" i="21"/>
  <c r="CJ271" i="21"/>
  <c r="CM271" i="21" s="1"/>
  <c r="DM271" i="21"/>
  <c r="DN271" i="21"/>
  <c r="BM272" i="21"/>
  <c r="AV273" i="21"/>
  <c r="CS272" i="21"/>
  <c r="DE271" i="21"/>
  <c r="DF271" i="21"/>
  <c r="DG271" i="21"/>
  <c r="DO271" i="21"/>
  <c r="BB273" i="21"/>
  <c r="BN272" i="21"/>
  <c r="CY272" i="21"/>
  <c r="BS272" i="21"/>
  <c r="CT272" i="21"/>
  <c r="CW272" i="21"/>
  <c r="BQ272" i="21"/>
  <c r="CI272" i="21"/>
  <c r="DC272" i="21"/>
  <c r="BE273" i="21"/>
  <c r="CD272" i="21"/>
  <c r="CF272" i="21" s="1"/>
  <c r="BY272" i="21"/>
  <c r="CA272" i="21" s="1"/>
  <c r="DK272" i="21"/>
  <c r="BO272" i="21"/>
  <c r="J435" i="20"/>
  <c r="CL271" i="21" l="1"/>
  <c r="CJ272" i="21"/>
  <c r="CL272" i="21" s="1"/>
  <c r="CK271" i="21"/>
  <c r="BB274" i="21"/>
  <c r="CY273" i="21"/>
  <c r="BS273" i="21"/>
  <c r="CW273" i="21"/>
  <c r="BN273" i="21"/>
  <c r="CT273" i="21"/>
  <c r="BQ273" i="21"/>
  <c r="CS273" i="21"/>
  <c r="BM273" i="21"/>
  <c r="AV274" i="21"/>
  <c r="DC273" i="21"/>
  <c r="DK273" i="21"/>
  <c r="BE274" i="21"/>
  <c r="BO273" i="21"/>
  <c r="BY273" i="21"/>
  <c r="CA273" i="21" s="1"/>
  <c r="CD273" i="21"/>
  <c r="CF273" i="21" s="1"/>
  <c r="CI273" i="21"/>
  <c r="DF272" i="21"/>
  <c r="DG272" i="21"/>
  <c r="DO272" i="21"/>
  <c r="DE272" i="21"/>
  <c r="DN272" i="21"/>
  <c r="DM272" i="21"/>
  <c r="J436" i="20"/>
  <c r="CM272" i="21" l="1"/>
  <c r="CJ273" i="21"/>
  <c r="CK272" i="21"/>
  <c r="CI274" i="21"/>
  <c r="DC274" i="21"/>
  <c r="BY274" i="21"/>
  <c r="CA274" i="21" s="1"/>
  <c r="DK274" i="21"/>
  <c r="CD274" i="21"/>
  <c r="CF274" i="21" s="1"/>
  <c r="BO274" i="21"/>
  <c r="BE275" i="21"/>
  <c r="DN273" i="21"/>
  <c r="DM273" i="21"/>
  <c r="DG273" i="21"/>
  <c r="DE273" i="21"/>
  <c r="DO273" i="21"/>
  <c r="DF273" i="21"/>
  <c r="CS274" i="21"/>
  <c r="BM274" i="21"/>
  <c r="AV275" i="21"/>
  <c r="CT274" i="21"/>
  <c r="BQ274" i="21"/>
  <c r="CW274" i="21"/>
  <c r="CY274" i="21"/>
  <c r="BN274" i="21"/>
  <c r="BS274" i="21"/>
  <c r="BB275" i="21"/>
  <c r="J437" i="20"/>
  <c r="CJ274" i="21" l="1"/>
  <c r="CM273" i="21"/>
  <c r="CK273" i="21"/>
  <c r="CL273" i="21"/>
  <c r="CT275" i="21"/>
  <c r="BS275" i="21"/>
  <c r="BN275" i="21"/>
  <c r="BB276" i="21"/>
  <c r="CW275" i="21"/>
  <c r="CY275" i="21"/>
  <c r="BQ275" i="21"/>
  <c r="BY275" i="21"/>
  <c r="CA275" i="21" s="1"/>
  <c r="CD275" i="21"/>
  <c r="CF275" i="21" s="1"/>
  <c r="BO275" i="21"/>
  <c r="DK275" i="21"/>
  <c r="BE276" i="21"/>
  <c r="CI275" i="21"/>
  <c r="DC275" i="21"/>
  <c r="DM274" i="21"/>
  <c r="DN274" i="21"/>
  <c r="DE274" i="21"/>
  <c r="DG274" i="21"/>
  <c r="DO274" i="21"/>
  <c r="DF274" i="21"/>
  <c r="AV276" i="21"/>
  <c r="BM275" i="21"/>
  <c r="CS275" i="21"/>
  <c r="J438" i="20"/>
  <c r="CL274" i="21" l="1"/>
  <c r="CM274" i="21"/>
  <c r="CJ275" i="21"/>
  <c r="CM275" i="21" s="1"/>
  <c r="CK274" i="21"/>
  <c r="DO275" i="21"/>
  <c r="DG275" i="21"/>
  <c r="DF275" i="21"/>
  <c r="DE275" i="21"/>
  <c r="CS276" i="21"/>
  <c r="BM276" i="21"/>
  <c r="AV277" i="21"/>
  <c r="DK276" i="21"/>
  <c r="BE277" i="21"/>
  <c r="CD276" i="21"/>
  <c r="CF276" i="21" s="1"/>
  <c r="DC276" i="21"/>
  <c r="BY276" i="21"/>
  <c r="CA276" i="21" s="1"/>
  <c r="CI276" i="21"/>
  <c r="BO276" i="21"/>
  <c r="BS276" i="21"/>
  <c r="CT276" i="21"/>
  <c r="BN276" i="21"/>
  <c r="CY276" i="21"/>
  <c r="BQ276" i="21"/>
  <c r="BB277" i="21"/>
  <c r="CW276" i="21"/>
  <c r="DN275" i="21"/>
  <c r="DM275" i="21"/>
  <c r="J439" i="20"/>
  <c r="CL275" i="21" l="1"/>
  <c r="CK275" i="21"/>
  <c r="CJ276" i="21"/>
  <c r="CK276" i="21" s="1"/>
  <c r="DM276" i="21"/>
  <c r="DN276" i="21"/>
  <c r="BM277" i="21"/>
  <c r="AV278" i="21"/>
  <c r="CS277" i="21"/>
  <c r="CW277" i="21"/>
  <c r="CY277" i="21"/>
  <c r="BS277" i="21"/>
  <c r="BB278" i="21"/>
  <c r="BN277" i="21"/>
  <c r="BQ277" i="21"/>
  <c r="CT277" i="21"/>
  <c r="DE276" i="21"/>
  <c r="DF276" i="21"/>
  <c r="DO276" i="21"/>
  <c r="DG276" i="21"/>
  <c r="CI277" i="21"/>
  <c r="BY277" i="21"/>
  <c r="CA277" i="21" s="1"/>
  <c r="BO277" i="21"/>
  <c r="DK277" i="21"/>
  <c r="DC277" i="21"/>
  <c r="CD277" i="21"/>
  <c r="CF277" i="21" s="1"/>
  <c r="BE278" i="21"/>
  <c r="J440" i="20"/>
  <c r="CL276" i="21" l="1"/>
  <c r="CJ277" i="21"/>
  <c r="CM277" i="21" s="1"/>
  <c r="CM276" i="21"/>
  <c r="DN277" i="21"/>
  <c r="DM277" i="21"/>
  <c r="AV279" i="21"/>
  <c r="BM278" i="21"/>
  <c r="CS278" i="21"/>
  <c r="DO277" i="21"/>
  <c r="DE277" i="21"/>
  <c r="DG277" i="21"/>
  <c r="DF277" i="21"/>
  <c r="BB279" i="21"/>
  <c r="BN278" i="21"/>
  <c r="CY278" i="21"/>
  <c r="BS278" i="21"/>
  <c r="CT278" i="21"/>
  <c r="BQ278" i="21"/>
  <c r="CW278" i="21"/>
  <c r="DC278" i="21"/>
  <c r="CI278" i="21"/>
  <c r="BO278" i="21"/>
  <c r="CD278" i="21"/>
  <c r="CF278" i="21" s="1"/>
  <c r="BY278" i="21"/>
  <c r="CA278" i="21" s="1"/>
  <c r="BE279" i="21"/>
  <c r="DK278" i="21"/>
  <c r="J441" i="20"/>
  <c r="CK277" i="21" l="1"/>
  <c r="CJ278" i="21"/>
  <c r="CK278" i="21" s="1"/>
  <c r="CL277" i="21"/>
  <c r="DM278" i="21"/>
  <c r="DN278" i="21"/>
  <c r="DK279" i="21"/>
  <c r="CD279" i="21"/>
  <c r="CF279" i="21" s="1"/>
  <c r="BY279" i="21"/>
  <c r="CA279" i="21" s="1"/>
  <c r="DC279" i="21"/>
  <c r="BE280" i="21"/>
  <c r="CI279" i="21"/>
  <c r="CJ279" i="21" s="1"/>
  <c r="CM279" i="21" s="1"/>
  <c r="BO279" i="21"/>
  <c r="BM279" i="21"/>
  <c r="AV280" i="21"/>
  <c r="CS279" i="21"/>
  <c r="BB280" i="21"/>
  <c r="CW279" i="21"/>
  <c r="BN279" i="21"/>
  <c r="CT279" i="21"/>
  <c r="CY279" i="21"/>
  <c r="BS279" i="21"/>
  <c r="BQ279" i="21"/>
  <c r="DG278" i="21"/>
  <c r="DE278" i="21"/>
  <c r="DF278" i="21"/>
  <c r="DO278" i="21"/>
  <c r="J442" i="20"/>
  <c r="CL278" i="21" l="1"/>
  <c r="CM278" i="21"/>
  <c r="CL279" i="21"/>
  <c r="CK279" i="21"/>
  <c r="BO280" i="21"/>
  <c r="CD280" i="21"/>
  <c r="CF280" i="21" s="1"/>
  <c r="DC280" i="21"/>
  <c r="BY280" i="21"/>
  <c r="CA280" i="21" s="1"/>
  <c r="DK280" i="21"/>
  <c r="CI280" i="21"/>
  <c r="BE281" i="21"/>
  <c r="CY280" i="21"/>
  <c r="BS280" i="21"/>
  <c r="BB281" i="21"/>
  <c r="BQ280" i="21"/>
  <c r="BN280" i="21"/>
  <c r="CW280" i="21"/>
  <c r="CT280" i="21"/>
  <c r="DO279" i="21"/>
  <c r="DG279" i="21"/>
  <c r="DF279" i="21"/>
  <c r="DE279" i="21"/>
  <c r="AV281" i="21"/>
  <c r="CS280" i="21"/>
  <c r="BM280" i="21"/>
  <c r="DM279" i="21"/>
  <c r="DN279" i="21"/>
  <c r="J443" i="20"/>
  <c r="CJ280" i="21" l="1"/>
  <c r="CM280" i="21" s="1"/>
  <c r="CD281" i="21"/>
  <c r="CF281" i="21" s="1"/>
  <c r="BE282" i="21"/>
  <c r="BO281" i="21"/>
  <c r="DK281" i="21"/>
  <c r="DC281" i="21"/>
  <c r="BY281" i="21"/>
  <c r="CA281" i="21" s="1"/>
  <c r="CI281" i="21"/>
  <c r="DN280" i="21"/>
  <c r="DM280" i="21"/>
  <c r="BM281" i="21"/>
  <c r="AV282" i="21"/>
  <c r="CS281" i="21"/>
  <c r="DF280" i="21"/>
  <c r="DG280" i="21"/>
  <c r="DE280" i="21"/>
  <c r="DO280" i="21"/>
  <c r="CW281" i="21"/>
  <c r="BS281" i="21"/>
  <c r="BN281" i="21"/>
  <c r="CY281" i="21"/>
  <c r="BB282" i="21"/>
  <c r="BQ281" i="21"/>
  <c r="CT281" i="21"/>
  <c r="J444" i="20"/>
  <c r="CK280" i="21" l="1"/>
  <c r="CL280" i="21"/>
  <c r="CJ281" i="21"/>
  <c r="CK281" i="21" s="1"/>
  <c r="DO281" i="21"/>
  <c r="DE281" i="21"/>
  <c r="DF281" i="21"/>
  <c r="DG281" i="21"/>
  <c r="CT282" i="21"/>
  <c r="BB283" i="21"/>
  <c r="BS282" i="21"/>
  <c r="CW282" i="21"/>
  <c r="BN282" i="21"/>
  <c r="BQ282" i="21"/>
  <c r="CY282" i="21"/>
  <c r="DN281" i="21"/>
  <c r="DM281" i="21"/>
  <c r="AV283" i="21"/>
  <c r="BM282" i="21"/>
  <c r="CS282" i="21"/>
  <c r="BO282" i="21"/>
  <c r="CI282" i="21"/>
  <c r="DC282" i="21"/>
  <c r="BE283" i="21"/>
  <c r="CD282" i="21"/>
  <c r="CF282" i="21" s="1"/>
  <c r="BY282" i="21"/>
  <c r="CA282" i="21" s="1"/>
  <c r="DK282" i="21"/>
  <c r="J445" i="20"/>
  <c r="CL281" i="21" l="1"/>
  <c r="CM281" i="21"/>
  <c r="CJ282" i="21"/>
  <c r="CK282" i="21" s="1"/>
  <c r="DM282" i="21"/>
  <c r="DN282" i="21"/>
  <c r="CS283" i="21"/>
  <c r="BM283" i="21"/>
  <c r="AV284" i="21"/>
  <c r="CT283" i="21"/>
  <c r="BN283" i="21"/>
  <c r="CY283" i="21"/>
  <c r="BQ283" i="21"/>
  <c r="BS283" i="21"/>
  <c r="BB284" i="21"/>
  <c r="CW283" i="21"/>
  <c r="DE282" i="21"/>
  <c r="DG282" i="21"/>
  <c r="DO282" i="21"/>
  <c r="DF282" i="21"/>
  <c r="CD283" i="21"/>
  <c r="CF283" i="21" s="1"/>
  <c r="DC283" i="21"/>
  <c r="BE284" i="21"/>
  <c r="BY283" i="21"/>
  <c r="CA283" i="21" s="1"/>
  <c r="CI283" i="21"/>
  <c r="DK283" i="21"/>
  <c r="BO283" i="21"/>
  <c r="J446" i="20"/>
  <c r="CL282" i="21" l="1"/>
  <c r="CM282" i="21"/>
  <c r="CJ283" i="21"/>
  <c r="CM283" i="21" s="1"/>
  <c r="DM283" i="21"/>
  <c r="DN283" i="21"/>
  <c r="AV285" i="21"/>
  <c r="BM284" i="21"/>
  <c r="CS284" i="21"/>
  <c r="BY284" i="21"/>
  <c r="CA284" i="21" s="1"/>
  <c r="CI284" i="21"/>
  <c r="CJ284" i="21" s="1"/>
  <c r="CK284" i="21" s="1"/>
  <c r="CD284" i="21"/>
  <c r="CF284" i="21" s="1"/>
  <c r="BE285" i="21"/>
  <c r="DK284" i="21"/>
  <c r="DC284" i="21"/>
  <c r="BO284" i="21"/>
  <c r="BB285" i="21"/>
  <c r="BN284" i="21"/>
  <c r="CW284" i="21"/>
  <c r="CT284" i="21"/>
  <c r="BS284" i="21"/>
  <c r="CY284" i="21"/>
  <c r="BQ284" i="21"/>
  <c r="DF283" i="21"/>
  <c r="DO283" i="21"/>
  <c r="DE283" i="21"/>
  <c r="DG283" i="21"/>
  <c r="J447" i="20"/>
  <c r="CL284" i="21" l="1"/>
  <c r="CK283" i="21"/>
  <c r="CL283" i="21"/>
  <c r="CM284" i="21"/>
  <c r="BS285" i="21"/>
  <c r="CY285" i="21"/>
  <c r="BN285" i="21"/>
  <c r="BB286" i="21"/>
  <c r="CT285" i="21"/>
  <c r="CW285" i="21"/>
  <c r="BQ285" i="21"/>
  <c r="DG284" i="21"/>
  <c r="DF284" i="21"/>
  <c r="DO284" i="21"/>
  <c r="DE284" i="21"/>
  <c r="DN284" i="21"/>
  <c r="DM284" i="21"/>
  <c r="BE286" i="21"/>
  <c r="DK285" i="21"/>
  <c r="BO285" i="21"/>
  <c r="BY285" i="21"/>
  <c r="CA285" i="21" s="1"/>
  <c r="DC285" i="21"/>
  <c r="CI285" i="21"/>
  <c r="CD285" i="21"/>
  <c r="CF285" i="21" s="1"/>
  <c r="BM285" i="21"/>
  <c r="AV286" i="21"/>
  <c r="CS285" i="21"/>
  <c r="J448" i="20"/>
  <c r="CJ285" i="21" l="1"/>
  <c r="CK285" i="21" s="1"/>
  <c r="DM285" i="21"/>
  <c r="DN285" i="21"/>
  <c r="BM286" i="21"/>
  <c r="AV287" i="21"/>
  <c r="CS286" i="21"/>
  <c r="DK286" i="21"/>
  <c r="BE287" i="21"/>
  <c r="CI286" i="21"/>
  <c r="BO286" i="21"/>
  <c r="BY286" i="21"/>
  <c r="CA286" i="21" s="1"/>
  <c r="CD286" i="21"/>
  <c r="CF286" i="21" s="1"/>
  <c r="DC286" i="21"/>
  <c r="BQ286" i="21"/>
  <c r="BB287" i="21"/>
  <c r="BN286" i="21"/>
  <c r="CY286" i="21"/>
  <c r="CW286" i="21"/>
  <c r="BS286" i="21"/>
  <c r="CT286" i="21"/>
  <c r="DF285" i="21"/>
  <c r="DE285" i="21"/>
  <c r="DG285" i="21"/>
  <c r="DO285" i="21"/>
  <c r="J449" i="20"/>
  <c r="CJ286" i="21" l="1"/>
  <c r="CM286" i="21" s="1"/>
  <c r="CM285" i="21"/>
  <c r="CL285" i="21"/>
  <c r="CY287" i="21"/>
  <c r="CW287" i="21"/>
  <c r="CT287" i="21"/>
  <c r="BQ287" i="21"/>
  <c r="BN287" i="21"/>
  <c r="BS287" i="21"/>
  <c r="BB288" i="21"/>
  <c r="DK287" i="21"/>
  <c r="BO287" i="21"/>
  <c r="BY287" i="21"/>
  <c r="CA287" i="21" s="1"/>
  <c r="DC287" i="21"/>
  <c r="BE288" i="21"/>
  <c r="CI287" i="21"/>
  <c r="CD287" i="21"/>
  <c r="CF287" i="21" s="1"/>
  <c r="DM286" i="21"/>
  <c r="DN286" i="21"/>
  <c r="DO286" i="21"/>
  <c r="DE286" i="21"/>
  <c r="DF286" i="21"/>
  <c r="DG286" i="21"/>
  <c r="AV288" i="21"/>
  <c r="CS287" i="21"/>
  <c r="BM287" i="21"/>
  <c r="J450" i="20"/>
  <c r="CL286" i="21" l="1"/>
  <c r="CK286" i="21"/>
  <c r="CJ287" i="21"/>
  <c r="CM287" i="21" s="1"/>
  <c r="DM287" i="21"/>
  <c r="DN287" i="21"/>
  <c r="CT288" i="21"/>
  <c r="BS288" i="21"/>
  <c r="CW288" i="21"/>
  <c r="BN288" i="21"/>
  <c r="CY288" i="21"/>
  <c r="BB289" i="21"/>
  <c r="BQ288" i="21"/>
  <c r="BM288" i="21"/>
  <c r="AV289" i="21"/>
  <c r="CS288" i="21"/>
  <c r="BY288" i="21"/>
  <c r="CA288" i="21" s="1"/>
  <c r="DK288" i="21"/>
  <c r="BO288" i="21"/>
  <c r="CI288" i="21"/>
  <c r="DC288" i="21"/>
  <c r="CD288" i="21"/>
  <c r="CF288" i="21" s="1"/>
  <c r="BE289" i="21"/>
  <c r="DE287" i="21"/>
  <c r="DF287" i="21"/>
  <c r="DG287" i="21"/>
  <c r="DO287" i="21"/>
  <c r="J451" i="20"/>
  <c r="CK287" i="21" l="1"/>
  <c r="CL287" i="21"/>
  <c r="CJ288" i="21"/>
  <c r="CL288" i="21" s="1"/>
  <c r="BB290" i="21"/>
  <c r="CY289" i="21"/>
  <c r="CT289" i="21"/>
  <c r="BS289" i="21"/>
  <c r="CW289" i="21"/>
  <c r="BN289" i="21"/>
  <c r="BQ289" i="21"/>
  <c r="DM288" i="21"/>
  <c r="DN288" i="21"/>
  <c r="CI289" i="21"/>
  <c r="CD289" i="21"/>
  <c r="CF289" i="21" s="1"/>
  <c r="DK289" i="21"/>
  <c r="BE290" i="21"/>
  <c r="BY289" i="21"/>
  <c r="CA289" i="21" s="1"/>
  <c r="DC289" i="21"/>
  <c r="BO289" i="21"/>
  <c r="BM289" i="21"/>
  <c r="AV290" i="21"/>
  <c r="CS289" i="21"/>
  <c r="DE288" i="21"/>
  <c r="DG288" i="21"/>
  <c r="DO288" i="21"/>
  <c r="DF288" i="21"/>
  <c r="J452" i="20"/>
  <c r="CK288" i="21" l="1"/>
  <c r="CM288" i="21"/>
  <c r="CJ289" i="21"/>
  <c r="BE291" i="21"/>
  <c r="DK290" i="21"/>
  <c r="BO290" i="21"/>
  <c r="BY290" i="21"/>
  <c r="CA290" i="21" s="1"/>
  <c r="DC290" i="21"/>
  <c r="CD290" i="21"/>
  <c r="CF290" i="21" s="1"/>
  <c r="CI290" i="21"/>
  <c r="DN289" i="21"/>
  <c r="DM289" i="21"/>
  <c r="CS290" i="21"/>
  <c r="BM290" i="21"/>
  <c r="AV291" i="21"/>
  <c r="DO289" i="21"/>
  <c r="DG289" i="21"/>
  <c r="DE289" i="21"/>
  <c r="DF289" i="21"/>
  <c r="BB291" i="21"/>
  <c r="CW290" i="21"/>
  <c r="BN290" i="21"/>
  <c r="CY290" i="21"/>
  <c r="BS290" i="21"/>
  <c r="BQ290" i="21"/>
  <c r="CT290" i="21"/>
  <c r="J453" i="20"/>
  <c r="CL289" i="21" l="1"/>
  <c r="CM289" i="21"/>
  <c r="CJ290" i="21"/>
  <c r="CL290" i="21" s="1"/>
  <c r="CK289" i="21"/>
  <c r="DO290" i="21"/>
  <c r="DF290" i="21"/>
  <c r="DE290" i="21"/>
  <c r="DG290" i="21"/>
  <c r="AV292" i="21"/>
  <c r="BM291" i="21"/>
  <c r="CS291" i="21"/>
  <c r="BS291" i="21"/>
  <c r="CY291" i="21"/>
  <c r="CW291" i="21"/>
  <c r="BN291" i="21"/>
  <c r="BB292" i="21"/>
  <c r="BQ291" i="21"/>
  <c r="CT291" i="21"/>
  <c r="DN290" i="21"/>
  <c r="DM290" i="21"/>
  <c r="DK291" i="21"/>
  <c r="BY291" i="21"/>
  <c r="CA291" i="21" s="1"/>
  <c r="BO291" i="21"/>
  <c r="CD291" i="21"/>
  <c r="CF291" i="21" s="1"/>
  <c r="DC291" i="21"/>
  <c r="BE292" i="21"/>
  <c r="CI291" i="21"/>
  <c r="CJ291" i="21" s="1"/>
  <c r="J454" i="20"/>
  <c r="CM290" i="21" l="1"/>
  <c r="CK290" i="21"/>
  <c r="CM291" i="21"/>
  <c r="CL291" i="21"/>
  <c r="CK291" i="21"/>
  <c r="CI292" i="21"/>
  <c r="CJ292" i="21" s="1"/>
  <c r="CK292" i="21" s="1"/>
  <c r="BE293" i="21"/>
  <c r="DK292" i="21"/>
  <c r="BY292" i="21"/>
  <c r="CA292" i="21" s="1"/>
  <c r="DC292" i="21"/>
  <c r="BO292" i="21"/>
  <c r="CD292" i="21"/>
  <c r="CF292" i="21" s="1"/>
  <c r="DF291" i="21"/>
  <c r="DE291" i="21"/>
  <c r="DO291" i="21"/>
  <c r="DG291" i="21"/>
  <c r="AV293" i="21"/>
  <c r="CS292" i="21"/>
  <c r="BM292" i="21"/>
  <c r="BQ292" i="21"/>
  <c r="BB293" i="21"/>
  <c r="BS292" i="21"/>
  <c r="CT292" i="21"/>
  <c r="BN292" i="21"/>
  <c r="CY292" i="21"/>
  <c r="CW292" i="21"/>
  <c r="DM291" i="21"/>
  <c r="DN291" i="21"/>
  <c r="J455" i="20"/>
  <c r="CL292" i="21" l="1"/>
  <c r="CM292" i="21"/>
  <c r="BQ293" i="21"/>
  <c r="CT293" i="21"/>
  <c r="BN293" i="21"/>
  <c r="BB294" i="21"/>
  <c r="BS293" i="21"/>
  <c r="CY293" i="21"/>
  <c r="CW293" i="21"/>
  <c r="DF292" i="21"/>
  <c r="DO292" i="21"/>
  <c r="DE292" i="21"/>
  <c r="DG292" i="21"/>
  <c r="AV294" i="21"/>
  <c r="CS293" i="21"/>
  <c r="BM293" i="21"/>
  <c r="DM292" i="21"/>
  <c r="DN292" i="21"/>
  <c r="BO293" i="21"/>
  <c r="CD293" i="21"/>
  <c r="CF293" i="21" s="1"/>
  <c r="BE294" i="21"/>
  <c r="BY293" i="21"/>
  <c r="CA293" i="21" s="1"/>
  <c r="DK293" i="21"/>
  <c r="DC293" i="21"/>
  <c r="CI293" i="21"/>
  <c r="J456" i="20"/>
  <c r="CJ293" i="21" l="1"/>
  <c r="CM293" i="21" s="1"/>
  <c r="DF293" i="21"/>
  <c r="DO293" i="21"/>
  <c r="DE293" i="21"/>
  <c r="DG293" i="21"/>
  <c r="BM294" i="21"/>
  <c r="CS294" i="21"/>
  <c r="AV295" i="21"/>
  <c r="AV263" i="22" s="1"/>
  <c r="AV264" i="22" s="1"/>
  <c r="BY294" i="21"/>
  <c r="CA294" i="21" s="1"/>
  <c r="CA295" i="21" s="1"/>
  <c r="CA298" i="21" s="1"/>
  <c r="BO294" i="21"/>
  <c r="DC294" i="21"/>
  <c r="DK294" i="21"/>
  <c r="CI294" i="21"/>
  <c r="BE295" i="21"/>
  <c r="BE263" i="22" s="1"/>
  <c r="BE264" i="22" s="1"/>
  <c r="CD294" i="21"/>
  <c r="CF294" i="21" s="1"/>
  <c r="CF295" i="21" s="1"/>
  <c r="BQ294" i="21"/>
  <c r="BS294" i="21"/>
  <c r="BB295" i="21"/>
  <c r="BB263" i="22" s="1"/>
  <c r="BB264" i="22" s="1"/>
  <c r="BN294" i="21"/>
  <c r="CW294" i="21"/>
  <c r="CT294" i="21"/>
  <c r="CY294" i="21"/>
  <c r="DM293" i="21"/>
  <c r="DN293" i="21"/>
  <c r="J457" i="20"/>
  <c r="CF298" i="21" l="1"/>
  <c r="I378" i="21" s="1"/>
  <c r="CK293" i="21"/>
  <c r="CL293" i="21"/>
  <c r="CI295" i="21"/>
  <c r="CI298" i="21" s="1"/>
  <c r="CJ294" i="21"/>
  <c r="CJ295" i="21" s="1"/>
  <c r="DC264" i="22"/>
  <c r="DK264" i="22"/>
  <c r="BO264" i="22"/>
  <c r="BY264" i="22"/>
  <c r="CA264" i="22" s="1"/>
  <c r="CD264" i="22"/>
  <c r="CF264" i="22" s="1"/>
  <c r="CI264" i="22"/>
  <c r="CJ264" i="22" s="1"/>
  <c r="BE265" i="22"/>
  <c r="DM294" i="21"/>
  <c r="DM295" i="21" s="1"/>
  <c r="DN294" i="21"/>
  <c r="DN295" i="21" s="1"/>
  <c r="BB265" i="22"/>
  <c r="BN264" i="22"/>
  <c r="CW264" i="22"/>
  <c r="BS264" i="22"/>
  <c r="BQ264" i="22"/>
  <c r="CY264" i="22"/>
  <c r="CT264" i="22"/>
  <c r="DO294" i="21"/>
  <c r="DO295" i="21" s="1"/>
  <c r="DF294" i="21"/>
  <c r="DF295" i="21" s="1"/>
  <c r="DE294" i="21"/>
  <c r="DE295" i="21" s="1"/>
  <c r="DG294" i="21"/>
  <c r="DG295" i="21" s="1"/>
  <c r="BM264" i="22"/>
  <c r="CS264" i="22"/>
  <c r="AV265" i="22"/>
  <c r="P74" i="20"/>
  <c r="I67" i="20"/>
  <c r="J64" i="20"/>
  <c r="J67" i="20"/>
  <c r="H65" i="20"/>
  <c r="P65" i="20"/>
  <c r="P64" i="20"/>
  <c r="I64" i="20"/>
  <c r="H66" i="20"/>
  <c r="A65" i="20"/>
  <c r="J66" i="20"/>
  <c r="H67" i="20"/>
  <c r="I65" i="20"/>
  <c r="A64" i="20"/>
  <c r="J65" i="20"/>
  <c r="H64" i="20"/>
  <c r="P67" i="20"/>
  <c r="A67" i="20"/>
  <c r="I66" i="20"/>
  <c r="P66" i="20"/>
  <c r="A66" i="20"/>
  <c r="J77" i="20"/>
  <c r="J68" i="20"/>
  <c r="A70" i="20"/>
  <c r="A69" i="20"/>
  <c r="J70" i="20"/>
  <c r="H69" i="20"/>
  <c r="I69" i="20"/>
  <c r="P70" i="20"/>
  <c r="I70" i="20"/>
  <c r="J69" i="20"/>
  <c r="H68" i="20"/>
  <c r="H70" i="20"/>
  <c r="P69" i="20"/>
  <c r="I68" i="20"/>
  <c r="A68" i="20"/>
  <c r="P68" i="20"/>
  <c r="H71" i="20"/>
  <c r="J71" i="20"/>
  <c r="P71" i="20"/>
  <c r="A71" i="20"/>
  <c r="I71" i="20"/>
  <c r="I73" i="20"/>
  <c r="P73" i="20"/>
  <c r="J73" i="20"/>
  <c r="A73" i="20"/>
  <c r="H72" i="20"/>
  <c r="P72" i="20"/>
  <c r="A72" i="20"/>
  <c r="I72" i="20"/>
  <c r="H73" i="20"/>
  <c r="J72" i="20"/>
  <c r="A74" i="20"/>
  <c r="I74" i="20"/>
  <c r="H74" i="20"/>
  <c r="J74" i="20"/>
  <c r="P75" i="20"/>
  <c r="A75" i="20"/>
  <c r="I75" i="20"/>
  <c r="J75" i="20"/>
  <c r="I76" i="20"/>
  <c r="P76" i="20"/>
  <c r="A76" i="20"/>
  <c r="H76" i="20"/>
  <c r="J76" i="20"/>
  <c r="H77" i="20"/>
  <c r="I77" i="20"/>
  <c r="P77" i="20"/>
  <c r="I78" i="20"/>
  <c r="P78" i="20"/>
  <c r="A78" i="20"/>
  <c r="I141" i="20"/>
  <c r="H90" i="20"/>
  <c r="J116" i="20"/>
  <c r="H96" i="20"/>
  <c r="P88" i="20"/>
  <c r="H123" i="20"/>
  <c r="P98" i="20"/>
  <c r="H85" i="20"/>
  <c r="H88" i="20"/>
  <c r="A114" i="20"/>
  <c r="J95" i="20"/>
  <c r="J118" i="20"/>
  <c r="I131" i="20"/>
  <c r="A91" i="20"/>
  <c r="H105" i="20"/>
  <c r="J81" i="20"/>
  <c r="I117" i="20"/>
  <c r="J142" i="20"/>
  <c r="P136" i="20"/>
  <c r="H132" i="20"/>
  <c r="J128" i="20"/>
  <c r="A113" i="20"/>
  <c r="A141" i="20"/>
  <c r="J99" i="20"/>
  <c r="J127" i="20"/>
  <c r="J88" i="20"/>
  <c r="I89" i="20"/>
  <c r="H83" i="20"/>
  <c r="P130" i="20"/>
  <c r="H110" i="20"/>
  <c r="H102" i="20"/>
  <c r="H104" i="20"/>
  <c r="J80" i="20"/>
  <c r="H95" i="20"/>
  <c r="J135" i="20"/>
  <c r="P123" i="20"/>
  <c r="P129" i="20"/>
  <c r="H97" i="20"/>
  <c r="A122" i="20"/>
  <c r="I106" i="20"/>
  <c r="P131" i="20"/>
  <c r="H138" i="20"/>
  <c r="J111" i="20"/>
  <c r="I103" i="20"/>
  <c r="P112" i="20"/>
  <c r="A95" i="20"/>
  <c r="H103" i="20"/>
  <c r="I124" i="20"/>
  <c r="A124" i="20"/>
  <c r="A96" i="20"/>
  <c r="J84" i="20"/>
  <c r="P96" i="20"/>
  <c r="A99" i="20"/>
  <c r="I85" i="20"/>
  <c r="P86" i="20"/>
  <c r="I123" i="20"/>
  <c r="A116" i="20"/>
  <c r="P126" i="20"/>
  <c r="A136" i="20"/>
  <c r="P116" i="20"/>
  <c r="I125" i="20"/>
  <c r="I79" i="20"/>
  <c r="I135" i="20"/>
  <c r="A109" i="20"/>
  <c r="I127" i="20"/>
  <c r="I93" i="20"/>
  <c r="I105" i="20"/>
  <c r="P95" i="20"/>
  <c r="P114" i="20"/>
  <c r="H116" i="20"/>
  <c r="I94" i="20"/>
  <c r="J78" i="20"/>
  <c r="J107" i="20"/>
  <c r="P90" i="20"/>
  <c r="H107" i="20"/>
  <c r="J113" i="20"/>
  <c r="J83" i="20"/>
  <c r="P134" i="20"/>
  <c r="J122" i="20"/>
  <c r="H120" i="20"/>
  <c r="I116" i="20"/>
  <c r="P135" i="20"/>
  <c r="H100" i="20"/>
  <c r="I138" i="20"/>
  <c r="P133" i="20"/>
  <c r="A130" i="20"/>
  <c r="H142" i="20"/>
  <c r="J143" i="20"/>
  <c r="I126" i="20"/>
  <c r="H127" i="20"/>
  <c r="J119" i="20"/>
  <c r="I92" i="20"/>
  <c r="A132" i="20"/>
  <c r="A104" i="20"/>
  <c r="P115" i="20"/>
  <c r="I81" i="20"/>
  <c r="A119" i="20"/>
  <c r="I101" i="20"/>
  <c r="P141" i="20"/>
  <c r="J106" i="20"/>
  <c r="P125" i="20"/>
  <c r="P99" i="20"/>
  <c r="J126" i="20"/>
  <c r="H134" i="20"/>
  <c r="I130" i="20"/>
  <c r="P121" i="20"/>
  <c r="A140" i="20"/>
  <c r="I118" i="20"/>
  <c r="A127" i="20"/>
  <c r="P122" i="20"/>
  <c r="I133" i="20"/>
  <c r="A123" i="20"/>
  <c r="J123" i="20"/>
  <c r="P84" i="20"/>
  <c r="A85" i="20"/>
  <c r="I90" i="20"/>
  <c r="H143" i="20"/>
  <c r="H80" i="20"/>
  <c r="I139" i="20"/>
  <c r="I110" i="20"/>
  <c r="H135" i="20"/>
  <c r="H126" i="20"/>
  <c r="I119" i="20"/>
  <c r="P110" i="20"/>
  <c r="H98" i="20"/>
  <c r="J112" i="20"/>
  <c r="H111" i="20"/>
  <c r="H124" i="20"/>
  <c r="A105" i="20"/>
  <c r="P109" i="20"/>
  <c r="H78" i="20"/>
  <c r="A88" i="20"/>
  <c r="P91" i="20"/>
  <c r="A106" i="20"/>
  <c r="P128" i="20"/>
  <c r="I122" i="20"/>
  <c r="J103" i="20"/>
  <c r="A128" i="20"/>
  <c r="I95" i="20"/>
  <c r="H122" i="20"/>
  <c r="A138" i="20"/>
  <c r="J91" i="20"/>
  <c r="P97" i="20"/>
  <c r="J100" i="20"/>
  <c r="A103" i="20"/>
  <c r="H89" i="20"/>
  <c r="H81" i="20"/>
  <c r="H99" i="20"/>
  <c r="I99" i="20"/>
  <c r="A100" i="20"/>
  <c r="I144" i="20"/>
  <c r="H144" i="20"/>
  <c r="P87" i="20"/>
  <c r="A125" i="20"/>
  <c r="H109" i="20"/>
  <c r="I107" i="20"/>
  <c r="P118" i="20"/>
  <c r="H128" i="20"/>
  <c r="H137" i="20"/>
  <c r="J124" i="20"/>
  <c r="J117" i="20"/>
  <c r="A110" i="20"/>
  <c r="P108" i="20"/>
  <c r="A92" i="20"/>
  <c r="H133" i="20"/>
  <c r="P102" i="20"/>
  <c r="P127" i="20"/>
  <c r="J105" i="20"/>
  <c r="H84" i="20"/>
  <c r="P80" i="20"/>
  <c r="I128" i="20"/>
  <c r="P104" i="20"/>
  <c r="P100" i="20"/>
  <c r="J86" i="20"/>
  <c r="H131" i="20"/>
  <c r="I111" i="20"/>
  <c r="A79" i="20"/>
  <c r="J134" i="20"/>
  <c r="A137" i="20"/>
  <c r="J79" i="20"/>
  <c r="J89" i="20"/>
  <c r="J108" i="20"/>
  <c r="P89" i="20"/>
  <c r="H129" i="20"/>
  <c r="H108" i="20"/>
  <c r="A87" i="20"/>
  <c r="A134" i="20"/>
  <c r="J120" i="20"/>
  <c r="I83" i="20"/>
  <c r="I121" i="20"/>
  <c r="P144" i="20"/>
  <c r="J90" i="20"/>
  <c r="J131" i="20"/>
  <c r="A143" i="20"/>
  <c r="P119" i="20"/>
  <c r="A112" i="20"/>
  <c r="I115" i="20"/>
  <c r="P106" i="20"/>
  <c r="I97" i="20"/>
  <c r="A94" i="20"/>
  <c r="J144" i="20"/>
  <c r="A131" i="20"/>
  <c r="A117" i="20"/>
  <c r="A83" i="20"/>
  <c r="P83" i="20"/>
  <c r="J115" i="20"/>
  <c r="A81" i="20"/>
  <c r="I129" i="20"/>
  <c r="P120" i="20"/>
  <c r="H139" i="20"/>
  <c r="J102" i="20"/>
  <c r="J140" i="20"/>
  <c r="I132" i="20"/>
  <c r="H79" i="20"/>
  <c r="H92" i="20"/>
  <c r="A80" i="20"/>
  <c r="A120" i="20"/>
  <c r="A133" i="20"/>
  <c r="J132" i="20"/>
  <c r="H121" i="20"/>
  <c r="I114" i="20"/>
  <c r="P124" i="20"/>
  <c r="H140" i="20"/>
  <c r="P105" i="20"/>
  <c r="H91" i="20"/>
  <c r="J110" i="20"/>
  <c r="H118" i="20"/>
  <c r="I137" i="20"/>
  <c r="J138" i="20"/>
  <c r="A82" i="20"/>
  <c r="A90" i="20"/>
  <c r="J133" i="20"/>
  <c r="P101" i="20"/>
  <c r="P143" i="20"/>
  <c r="A121" i="20"/>
  <c r="I82" i="20"/>
  <c r="J121" i="20"/>
  <c r="J129" i="20"/>
  <c r="I102" i="20"/>
  <c r="J130" i="20"/>
  <c r="H87" i="20"/>
  <c r="A93" i="20"/>
  <c r="P140" i="20"/>
  <c r="J101" i="20"/>
  <c r="J93" i="20"/>
  <c r="I88" i="20"/>
  <c r="A111" i="20"/>
  <c r="A129" i="20"/>
  <c r="J125" i="20"/>
  <c r="P142" i="20"/>
  <c r="H106" i="20"/>
  <c r="H115" i="20"/>
  <c r="H112" i="20"/>
  <c r="H82" i="20"/>
  <c r="I140" i="20"/>
  <c r="I142" i="20"/>
  <c r="J97" i="20"/>
  <c r="I136" i="20"/>
  <c r="I98" i="20"/>
  <c r="P103" i="20"/>
  <c r="H125" i="20"/>
  <c r="H101" i="20"/>
  <c r="P132" i="20"/>
  <c r="J98" i="20"/>
  <c r="J109" i="20"/>
  <c r="J137" i="20"/>
  <c r="P113" i="20"/>
  <c r="H117" i="20"/>
  <c r="A97" i="20"/>
  <c r="I104" i="20"/>
  <c r="H93" i="20"/>
  <c r="A118" i="20"/>
  <c r="J96" i="20"/>
  <c r="P79" i="20"/>
  <c r="A101" i="20"/>
  <c r="I96" i="20"/>
  <c r="J85" i="20"/>
  <c r="A144" i="20"/>
  <c r="A89" i="20"/>
  <c r="J94" i="20"/>
  <c r="I108" i="20"/>
  <c r="H114" i="20"/>
  <c r="A108" i="20"/>
  <c r="P111" i="20"/>
  <c r="A135" i="20"/>
  <c r="I87" i="20"/>
  <c r="H130" i="20"/>
  <c r="P81" i="20"/>
  <c r="I134" i="20"/>
  <c r="A115" i="20"/>
  <c r="A102" i="20"/>
  <c r="P137" i="20"/>
  <c r="A139" i="20"/>
  <c r="P107" i="20"/>
  <c r="P117" i="20"/>
  <c r="J114" i="20"/>
  <c r="H119" i="20"/>
  <c r="J139" i="20"/>
  <c r="P82" i="20"/>
  <c r="P94" i="20"/>
  <c r="I143" i="20"/>
  <c r="I84" i="20"/>
  <c r="P92" i="20"/>
  <c r="I109" i="20"/>
  <c r="J141" i="20"/>
  <c r="A107" i="20"/>
  <c r="I113" i="20"/>
  <c r="P93" i="20"/>
  <c r="A98" i="20"/>
  <c r="I80" i="20"/>
  <c r="J82" i="20"/>
  <c r="A126" i="20"/>
  <c r="I112" i="20"/>
  <c r="P85" i="20"/>
  <c r="H141" i="20"/>
  <c r="I120" i="20"/>
  <c r="P138" i="20"/>
  <c r="H94" i="20"/>
  <c r="A86" i="20"/>
  <c r="A84" i="20"/>
  <c r="J87" i="20"/>
  <c r="I91" i="20"/>
  <c r="J92" i="20"/>
  <c r="H136" i="20"/>
  <c r="J104" i="20"/>
  <c r="I86" i="20"/>
  <c r="A142" i="20"/>
  <c r="H86" i="20"/>
  <c r="H113" i="20"/>
  <c r="I100" i="20"/>
  <c r="J136" i="20"/>
  <c r="P139" i="20"/>
  <c r="A77" i="20"/>
  <c r="H75" i="20"/>
  <c r="J155" i="21" l="1"/>
  <c r="H152" i="21"/>
  <c r="M379" i="21"/>
  <c r="H380" i="21"/>
  <c r="I380" i="21" s="1"/>
  <c r="F35" i="18"/>
  <c r="CL264" i="22"/>
  <c r="CM294" i="21"/>
  <c r="CM295" i="21" s="1"/>
  <c r="CL294" i="21"/>
  <c r="CL295" i="21" s="1"/>
  <c r="CM264" i="22"/>
  <c r="CK264" i="22"/>
  <c r="CK294" i="21"/>
  <c r="CK295" i="21" s="1"/>
  <c r="CI265" i="22"/>
  <c r="CJ265" i="22" s="1"/>
  <c r="CM265" i="22" s="1"/>
  <c r="BY265" i="22"/>
  <c r="CA265" i="22" s="1"/>
  <c r="BE266" i="22"/>
  <c r="CD265" i="22"/>
  <c r="CF265" i="22" s="1"/>
  <c r="BO265" i="22"/>
  <c r="DK265" i="22"/>
  <c r="DC265" i="22"/>
  <c r="AV266" i="22"/>
  <c r="CS265" i="22"/>
  <c r="BM265" i="22"/>
  <c r="CW265" i="22"/>
  <c r="CT265" i="22"/>
  <c r="BB266" i="22"/>
  <c r="BN265" i="22"/>
  <c r="CY265" i="22"/>
  <c r="BS265" i="22"/>
  <c r="BQ265" i="22"/>
  <c r="DM264" i="22"/>
  <c r="DN264" i="22"/>
  <c r="DE264" i="22"/>
  <c r="DO264" i="22"/>
  <c r="DG264" i="22"/>
  <c r="DF264" i="22"/>
  <c r="R18" i="9" l="1"/>
  <c r="H375" i="21" s="1"/>
  <c r="I375" i="21" s="1"/>
  <c r="F37" i="18"/>
  <c r="CK265" i="22"/>
  <c r="CL265" i="22"/>
  <c r="BM266" i="22"/>
  <c r="CS266" i="22"/>
  <c r="AV267" i="22"/>
  <c r="CW266" i="22"/>
  <c r="BQ266" i="22"/>
  <c r="CY266" i="22"/>
  <c r="BS266" i="22"/>
  <c r="BB267" i="22"/>
  <c r="BN266" i="22"/>
  <c r="CT266" i="22"/>
  <c r="DO265" i="22"/>
  <c r="DG265" i="22"/>
  <c r="DE265" i="22"/>
  <c r="DF265" i="22"/>
  <c r="DN265" i="22"/>
  <c r="DM265" i="22"/>
  <c r="A157" i="21"/>
  <c r="A165" i="21"/>
  <c r="A162" i="21"/>
  <c r="A164" i="21"/>
  <c r="DC266" i="22"/>
  <c r="DK266" i="22"/>
  <c r="BO266" i="22"/>
  <c r="BY266" i="22"/>
  <c r="CA266" i="22" s="1"/>
  <c r="CI266" i="22"/>
  <c r="CD266" i="22"/>
  <c r="CF266" i="22" s="1"/>
  <c r="BE267" i="22"/>
  <c r="I404" i="21" l="1"/>
  <c r="F32" i="18"/>
  <c r="P404" i="21"/>
  <c r="J375" i="21"/>
  <c r="J376" i="21" s="1"/>
  <c r="J377" i="21" s="1"/>
  <c r="J378" i="21" s="1"/>
  <c r="J379" i="21" s="1"/>
  <c r="J380" i="21" s="1"/>
  <c r="J381" i="21" s="1"/>
  <c r="J382" i="21" s="1"/>
  <c r="J383" i="21" s="1"/>
  <c r="CJ266" i="22"/>
  <c r="CM266" i="22" s="1"/>
  <c r="A161" i="21"/>
  <c r="BB268" i="22"/>
  <c r="BQ267" i="22"/>
  <c r="CY267" i="22"/>
  <c r="CW267" i="22"/>
  <c r="CT267" i="22"/>
  <c r="BS267" i="22"/>
  <c r="BN267" i="22"/>
  <c r="DM266" i="22"/>
  <c r="DN266" i="22"/>
  <c r="DF266" i="22"/>
  <c r="DE266" i="22"/>
  <c r="DO266" i="22"/>
  <c r="DG266" i="22"/>
  <c r="A167" i="21"/>
  <c r="A177" i="21"/>
  <c r="A175" i="21"/>
  <c r="A172" i="21"/>
  <c r="A169" i="21"/>
  <c r="F169" i="21"/>
  <c r="BO267" i="22"/>
  <c r="BY267" i="22"/>
  <c r="CA267" i="22" s="1"/>
  <c r="CD267" i="22"/>
  <c r="CF267" i="22" s="1"/>
  <c r="CI267" i="22"/>
  <c r="DC267" i="22"/>
  <c r="BE268" i="22"/>
  <c r="DK267" i="22"/>
  <c r="F158" i="21"/>
  <c r="A158" i="21"/>
  <c r="F159" i="21"/>
  <c r="A159" i="21"/>
  <c r="F165" i="21"/>
  <c r="F167" i="21" s="1"/>
  <c r="A166" i="21"/>
  <c r="F163" i="21"/>
  <c r="A163" i="21"/>
  <c r="CS267" i="22"/>
  <c r="BM267" i="22"/>
  <c r="AV268" i="22"/>
  <c r="A160" i="21"/>
  <c r="F160" i="21"/>
  <c r="J384" i="21"/>
  <c r="H408" i="21" l="1"/>
  <c r="I408" i="21" s="1"/>
  <c r="F65" i="18" s="1"/>
  <c r="H412" i="21"/>
  <c r="I412" i="21" s="1"/>
  <c r="F69" i="18" s="1"/>
  <c r="H409" i="21"/>
  <c r="I409" i="21" s="1"/>
  <c r="F66" i="18" s="1"/>
  <c r="P408" i="21"/>
  <c r="H411" i="21"/>
  <c r="I411" i="21" s="1"/>
  <c r="F68" i="18" s="1"/>
  <c r="P412" i="21"/>
  <c r="H407" i="21"/>
  <c r="I407" i="21" s="1"/>
  <c r="P407" i="21"/>
  <c r="P411" i="21"/>
  <c r="P413" i="21"/>
  <c r="P409" i="21"/>
  <c r="H432" i="21"/>
  <c r="I432" i="21" s="1"/>
  <c r="F61" i="18"/>
  <c r="CK266" i="22"/>
  <c r="CL266" i="22"/>
  <c r="CJ267" i="22"/>
  <c r="CM267" i="22" s="1"/>
  <c r="F176" i="21"/>
  <c r="F178" i="21" s="1"/>
  <c r="A176" i="21"/>
  <c r="DN267" i="22"/>
  <c r="DM267" i="22"/>
  <c r="F174" i="21"/>
  <c r="A174" i="21"/>
  <c r="CI268" i="22"/>
  <c r="DC268" i="22"/>
  <c r="BO268" i="22"/>
  <c r="BE269" i="22"/>
  <c r="DK268" i="22"/>
  <c r="CD268" i="22"/>
  <c r="CF268" i="22" s="1"/>
  <c r="BY268" i="22"/>
  <c r="CA268" i="22" s="1"/>
  <c r="A186" i="21"/>
  <c r="A188" i="21"/>
  <c r="A183" i="21"/>
  <c r="F180" i="21"/>
  <c r="A180" i="21"/>
  <c r="F179" i="21"/>
  <c r="DG267" i="22"/>
  <c r="DO267" i="22"/>
  <c r="DF267" i="22"/>
  <c r="DE267" i="22"/>
  <c r="A171" i="21"/>
  <c r="F171" i="21"/>
  <c r="A178" i="21"/>
  <c r="A170" i="21"/>
  <c r="F170" i="21"/>
  <c r="F173" i="21" s="1"/>
  <c r="CW268" i="22"/>
  <c r="CT268" i="22"/>
  <c r="BQ268" i="22"/>
  <c r="BN268" i="22"/>
  <c r="BS268" i="22"/>
  <c r="BB269" i="22"/>
  <c r="CY268" i="22"/>
  <c r="A173" i="21"/>
  <c r="AV269" i="22"/>
  <c r="BM268" i="22"/>
  <c r="CS268" i="22"/>
  <c r="F162" i="21"/>
  <c r="J385" i="21"/>
  <c r="F64" i="18" l="1"/>
  <c r="I428" i="21"/>
  <c r="F89" i="18"/>
  <c r="M435" i="21"/>
  <c r="P427" i="21"/>
  <c r="P428" i="21" s="1"/>
  <c r="CL267" i="22"/>
  <c r="CK267" i="22"/>
  <c r="CJ268" i="22"/>
  <c r="F185" i="21"/>
  <c r="A185" i="21"/>
  <c r="DO268" i="22"/>
  <c r="DE268" i="22"/>
  <c r="DF268" i="22"/>
  <c r="DG268" i="22"/>
  <c r="CS269" i="22"/>
  <c r="AV270" i="22"/>
  <c r="BM269" i="22"/>
  <c r="A189" i="21"/>
  <c r="A182" i="21"/>
  <c r="F182" i="21"/>
  <c r="CW269" i="22"/>
  <c r="BB270" i="22"/>
  <c r="BQ269" i="22"/>
  <c r="BS269" i="22"/>
  <c r="CY269" i="22"/>
  <c r="BN269" i="22"/>
  <c r="CT269" i="22"/>
  <c r="A184" i="21"/>
  <c r="DM268" i="22"/>
  <c r="DN268" i="22"/>
  <c r="F187" i="21"/>
  <c r="F189" i="21" s="1"/>
  <c r="A187" i="21"/>
  <c r="BE270" i="22"/>
  <c r="BO269" i="22"/>
  <c r="DK269" i="22"/>
  <c r="DC269" i="22"/>
  <c r="BY269" i="22"/>
  <c r="CA269" i="22" s="1"/>
  <c r="CD269" i="22"/>
  <c r="CF269" i="22" s="1"/>
  <c r="CI269" i="22"/>
  <c r="CJ269" i="22" s="1"/>
  <c r="CL269" i="22" s="1"/>
  <c r="F181" i="21"/>
  <c r="F184" i="21" s="1"/>
  <c r="A181" i="21"/>
  <c r="J386" i="21"/>
  <c r="I430" i="21" l="1"/>
  <c r="F85" i="18"/>
  <c r="G155" i="21"/>
  <c r="CM269" i="22"/>
  <c r="CK268" i="22"/>
  <c r="CM268" i="22"/>
  <c r="CK269" i="22"/>
  <c r="CL268" i="22"/>
  <c r="CT270" i="22"/>
  <c r="BQ270" i="22"/>
  <c r="BS270" i="22"/>
  <c r="BB271" i="22"/>
  <c r="BN270" i="22"/>
  <c r="CW270" i="22"/>
  <c r="CY270" i="22"/>
  <c r="AV271" i="22"/>
  <c r="BM270" i="22"/>
  <c r="CS270" i="22"/>
  <c r="DM269" i="22"/>
  <c r="DN269" i="22"/>
  <c r="DK270" i="22"/>
  <c r="BO270" i="22"/>
  <c r="BY270" i="22"/>
  <c r="CA270" i="22" s="1"/>
  <c r="BE271" i="22"/>
  <c r="CI270" i="22"/>
  <c r="CJ270" i="22" s="1"/>
  <c r="CK270" i="22" s="1"/>
  <c r="CD270" i="22"/>
  <c r="CF270" i="22" s="1"/>
  <c r="DC270" i="22"/>
  <c r="DE269" i="22"/>
  <c r="DG269" i="22"/>
  <c r="DO269" i="22"/>
  <c r="DF269" i="22"/>
  <c r="J387" i="21"/>
  <c r="F155" i="21" l="1"/>
  <c r="I447" i="21"/>
  <c r="F104" i="18" s="1"/>
  <c r="F87" i="18"/>
  <c r="CM270" i="22"/>
  <c r="CL270" i="22"/>
  <c r="BE272" i="22"/>
  <c r="CD271" i="22"/>
  <c r="CF271" i="22" s="1"/>
  <c r="BO271" i="22"/>
  <c r="BY271" i="22"/>
  <c r="CA271" i="22" s="1"/>
  <c r="DC271" i="22"/>
  <c r="CI271" i="22"/>
  <c r="DK271" i="22"/>
  <c r="AV272" i="22"/>
  <c r="CS271" i="22"/>
  <c r="BM271" i="22"/>
  <c r="DM270" i="22"/>
  <c r="DN270" i="22"/>
  <c r="BQ271" i="22"/>
  <c r="CW271" i="22"/>
  <c r="BB272" i="22"/>
  <c r="CT271" i="22"/>
  <c r="CY271" i="22"/>
  <c r="BN271" i="22"/>
  <c r="BS271" i="22"/>
  <c r="DO270" i="22"/>
  <c r="DF270" i="22"/>
  <c r="DG270" i="22"/>
  <c r="DE270" i="22"/>
  <c r="J388" i="21"/>
  <c r="CJ271" i="22" l="1"/>
  <c r="CM271" i="22" s="1"/>
  <c r="CW272" i="22"/>
  <c r="BQ272" i="22"/>
  <c r="BN272" i="22"/>
  <c r="BS272" i="22"/>
  <c r="BB273" i="22"/>
  <c r="CT272" i="22"/>
  <c r="CY272" i="22"/>
  <c r="AV273" i="22"/>
  <c r="BM272" i="22"/>
  <c r="CS272" i="22"/>
  <c r="DM271" i="22"/>
  <c r="DN271" i="22"/>
  <c r="DO271" i="22"/>
  <c r="DF271" i="22"/>
  <c r="DG271" i="22"/>
  <c r="DE271" i="22"/>
  <c r="CI272" i="22"/>
  <c r="BE273" i="22"/>
  <c r="DK272" i="22"/>
  <c r="DC272" i="22"/>
  <c r="BY272" i="22"/>
  <c r="CA272" i="22" s="1"/>
  <c r="BO272" i="22"/>
  <c r="CD272" i="22"/>
  <c r="CF272" i="22" s="1"/>
  <c r="J389" i="21"/>
  <c r="CK271" i="22" l="1"/>
  <c r="CL271" i="22"/>
  <c r="CJ272" i="22"/>
  <c r="CM272" i="22" s="1"/>
  <c r="AV274" i="22"/>
  <c r="BM273" i="22"/>
  <c r="CS273" i="22"/>
  <c r="BQ273" i="22"/>
  <c r="BB274" i="22"/>
  <c r="BS273" i="22"/>
  <c r="CW273" i="22"/>
  <c r="CY273" i="22"/>
  <c r="BN273" i="22"/>
  <c r="CT273" i="22"/>
  <c r="DN272" i="22"/>
  <c r="DM272" i="22"/>
  <c r="DC273" i="22"/>
  <c r="CD273" i="22"/>
  <c r="CF273" i="22" s="1"/>
  <c r="CI273" i="22"/>
  <c r="DK273" i="22"/>
  <c r="BY273" i="22"/>
  <c r="CA273" i="22" s="1"/>
  <c r="BO273" i="22"/>
  <c r="BE274" i="22"/>
  <c r="DG272" i="22"/>
  <c r="DE272" i="22"/>
  <c r="DF272" i="22"/>
  <c r="DO272" i="22"/>
  <c r="J390" i="21"/>
  <c r="CL272" i="22" l="1"/>
  <c r="CJ273" i="22"/>
  <c r="CK273" i="22" s="1"/>
  <c r="CK272" i="22"/>
  <c r="DE273" i="22"/>
  <c r="DO273" i="22"/>
  <c r="DF273" i="22"/>
  <c r="DG273" i="22"/>
  <c r="BB275" i="22"/>
  <c r="BN274" i="22"/>
  <c r="CT274" i="22"/>
  <c r="BS274" i="22"/>
  <c r="CW274" i="22"/>
  <c r="CY274" i="22"/>
  <c r="BQ274" i="22"/>
  <c r="BY274" i="22"/>
  <c r="CA274" i="22" s="1"/>
  <c r="DK274" i="22"/>
  <c r="CD274" i="22"/>
  <c r="CF274" i="22" s="1"/>
  <c r="CI274" i="22"/>
  <c r="BE275" i="22"/>
  <c r="DC274" i="22"/>
  <c r="BO274" i="22"/>
  <c r="DM273" i="22"/>
  <c r="DN273" i="22"/>
  <c r="AV275" i="22"/>
  <c r="CS274" i="22"/>
  <c r="BM274" i="22"/>
  <c r="J391" i="21"/>
  <c r="CM273" i="22" l="1"/>
  <c r="CL273" i="22"/>
  <c r="CJ274" i="22"/>
  <c r="CK274" i="22" s="1"/>
  <c r="BO275" i="22"/>
  <c r="BY275" i="22"/>
  <c r="CA275" i="22" s="1"/>
  <c r="DC275" i="22"/>
  <c r="CI275" i="22"/>
  <c r="CJ275" i="22" s="1"/>
  <c r="CM275" i="22" s="1"/>
  <c r="DK275" i="22"/>
  <c r="CD275" i="22"/>
  <c r="CF275" i="22" s="1"/>
  <c r="BE276" i="22"/>
  <c r="AV276" i="22"/>
  <c r="CS275" i="22"/>
  <c r="BM275" i="22"/>
  <c r="DN274" i="22"/>
  <c r="DM274" i="22"/>
  <c r="BS275" i="22"/>
  <c r="BB276" i="22"/>
  <c r="BN275" i="22"/>
  <c r="CY275" i="22"/>
  <c r="CW275" i="22"/>
  <c r="BQ275" i="22"/>
  <c r="CT275" i="22"/>
  <c r="DF274" i="22"/>
  <c r="DG274" i="22"/>
  <c r="DO274" i="22"/>
  <c r="DE274" i="22"/>
  <c r="J392" i="21"/>
  <c r="CM274" i="22" l="1"/>
  <c r="CL275" i="22"/>
  <c r="CK275" i="22"/>
  <c r="CL274" i="22"/>
  <c r="BM276" i="22"/>
  <c r="AV277" i="22"/>
  <c r="CS276" i="22"/>
  <c r="CD276" i="22"/>
  <c r="CF276" i="22" s="1"/>
  <c r="BY276" i="22"/>
  <c r="CA276" i="22" s="1"/>
  <c r="DK276" i="22"/>
  <c r="CI276" i="22"/>
  <c r="BO276" i="22"/>
  <c r="BE277" i="22"/>
  <c r="DC276" i="22"/>
  <c r="CW276" i="22"/>
  <c r="BB277" i="22"/>
  <c r="CT276" i="22"/>
  <c r="BQ276" i="22"/>
  <c r="BN276" i="22"/>
  <c r="CY276" i="22"/>
  <c r="BS276" i="22"/>
  <c r="DM275" i="22"/>
  <c r="DN275" i="22"/>
  <c r="DF275" i="22"/>
  <c r="DE275" i="22"/>
  <c r="DO275" i="22"/>
  <c r="DG275" i="22"/>
  <c r="J393" i="21"/>
  <c r="CJ276" i="22" l="1"/>
  <c r="CM276" i="22" s="1"/>
  <c r="DM276" i="22"/>
  <c r="DN276" i="22"/>
  <c r="BN277" i="22"/>
  <c r="BS277" i="22"/>
  <c r="BB278" i="22"/>
  <c r="CT277" i="22"/>
  <c r="BQ277" i="22"/>
  <c r="CY277" i="22"/>
  <c r="CW277" i="22"/>
  <c r="DO276" i="22"/>
  <c r="DE276" i="22"/>
  <c r="DF276" i="22"/>
  <c r="DG276" i="22"/>
  <c r="BM277" i="22"/>
  <c r="CS277" i="22"/>
  <c r="AV278" i="22"/>
  <c r="CD277" i="22"/>
  <c r="CF277" i="22" s="1"/>
  <c r="CI277" i="22"/>
  <c r="DC277" i="22"/>
  <c r="BO277" i="22"/>
  <c r="BY277" i="22"/>
  <c r="CA277" i="22" s="1"/>
  <c r="BE278" i="22"/>
  <c r="DK277" i="22"/>
  <c r="J394" i="21"/>
  <c r="CK276" i="22" l="1"/>
  <c r="CJ277" i="22"/>
  <c r="CK277" i="22" s="1"/>
  <c r="CL276" i="22"/>
  <c r="BO278" i="22"/>
  <c r="BE279" i="22"/>
  <c r="DK278" i="22"/>
  <c r="CD278" i="22"/>
  <c r="CF278" i="22" s="1"/>
  <c r="CI278" i="22"/>
  <c r="BY278" i="22"/>
  <c r="CA278" i="22" s="1"/>
  <c r="DC278" i="22"/>
  <c r="CT278" i="22"/>
  <c r="BN278" i="22"/>
  <c r="BQ278" i="22"/>
  <c r="BS278" i="22"/>
  <c r="CW278" i="22"/>
  <c r="BB279" i="22"/>
  <c r="CY278" i="22"/>
  <c r="DF277" i="22"/>
  <c r="DO277" i="22"/>
  <c r="DG277" i="22"/>
  <c r="DE277" i="22"/>
  <c r="BM278" i="22"/>
  <c r="AV279" i="22"/>
  <c r="CS278" i="22"/>
  <c r="DM277" i="22"/>
  <c r="DN277" i="22"/>
  <c r="J395" i="21"/>
  <c r="CM277" i="22" l="1"/>
  <c r="CL277" i="22"/>
  <c r="CJ278" i="22"/>
  <c r="CM278" i="22" s="1"/>
  <c r="DE278" i="22"/>
  <c r="DO278" i="22"/>
  <c r="DG278" i="22"/>
  <c r="DF278" i="22"/>
  <c r="BB280" i="22"/>
  <c r="CT279" i="22"/>
  <c r="BS279" i="22"/>
  <c r="CY279" i="22"/>
  <c r="BN279" i="22"/>
  <c r="BQ279" i="22"/>
  <c r="CW279" i="22"/>
  <c r="AV280" i="22"/>
  <c r="BM279" i="22"/>
  <c r="CS279" i="22"/>
  <c r="DN278" i="22"/>
  <c r="DM278" i="22"/>
  <c r="DC279" i="22"/>
  <c r="BE280" i="22"/>
  <c r="BY279" i="22"/>
  <c r="CA279" i="22" s="1"/>
  <c r="CI279" i="22"/>
  <c r="DK279" i="22"/>
  <c r="BO279" i="22"/>
  <c r="CD279" i="22"/>
  <c r="CF279" i="22" s="1"/>
  <c r="J396" i="21"/>
  <c r="CL278" i="22" l="1"/>
  <c r="CJ279" i="22"/>
  <c r="CL279" i="22" s="1"/>
  <c r="CK278" i="22"/>
  <c r="DN279" i="22"/>
  <c r="DM279" i="22"/>
  <c r="CY280" i="22"/>
  <c r="BS280" i="22"/>
  <c r="CW280" i="22"/>
  <c r="BN280" i="22"/>
  <c r="BQ280" i="22"/>
  <c r="CT280" i="22"/>
  <c r="BB281" i="22"/>
  <c r="BM280" i="22"/>
  <c r="AV281" i="22"/>
  <c r="CS280" i="22"/>
  <c r="BY280" i="22"/>
  <c r="CA280" i="22" s="1"/>
  <c r="CD280" i="22"/>
  <c r="CF280" i="22" s="1"/>
  <c r="DC280" i="22"/>
  <c r="DK280" i="22"/>
  <c r="CI280" i="22"/>
  <c r="BE281" i="22"/>
  <c r="BO280" i="22"/>
  <c r="DE279" i="22"/>
  <c r="DF279" i="22"/>
  <c r="DG279" i="22"/>
  <c r="DO279" i="22"/>
  <c r="J397" i="21"/>
  <c r="CK279" i="22" l="1"/>
  <c r="CM279" i="22"/>
  <c r="CJ280" i="22"/>
  <c r="CK280" i="22" s="1"/>
  <c r="DO280" i="22"/>
  <c r="DE280" i="22"/>
  <c r="DF280" i="22"/>
  <c r="DG280" i="22"/>
  <c r="CD281" i="22"/>
  <c r="CF281" i="22" s="1"/>
  <c r="CI281" i="22"/>
  <c r="BE282" i="22"/>
  <c r="BO281" i="22"/>
  <c r="BY281" i="22"/>
  <c r="CA281" i="22" s="1"/>
  <c r="DC281" i="22"/>
  <c r="DK281" i="22"/>
  <c r="AV282" i="22"/>
  <c r="BM281" i="22"/>
  <c r="CS281" i="22"/>
  <c r="DN280" i="22"/>
  <c r="DM280" i="22"/>
  <c r="BQ281" i="22"/>
  <c r="CW281" i="22"/>
  <c r="BS281" i="22"/>
  <c r="BN281" i="22"/>
  <c r="CT281" i="22"/>
  <c r="CY281" i="22"/>
  <c r="BB282" i="22"/>
  <c r="J398" i="21"/>
  <c r="J399" i="21" s="1"/>
  <c r="J400" i="21" s="1"/>
  <c r="J401" i="21" s="1"/>
  <c r="J402" i="21" s="1"/>
  <c r="J403" i="21" s="1"/>
  <c r="J404" i="21" s="1"/>
  <c r="J405" i="21" s="1"/>
  <c r="J406" i="21" s="1"/>
  <c r="CM280" i="22" l="1"/>
  <c r="CL280" i="22"/>
  <c r="CJ281" i="22"/>
  <c r="CM281" i="22" s="1"/>
  <c r="BB283" i="22"/>
  <c r="BS282" i="22"/>
  <c r="CW282" i="22"/>
  <c r="BN282" i="22"/>
  <c r="CY282" i="22"/>
  <c r="CT282" i="22"/>
  <c r="BQ282" i="22"/>
  <c r="BY282" i="22"/>
  <c r="CA282" i="22" s="1"/>
  <c r="BO282" i="22"/>
  <c r="DC282" i="22"/>
  <c r="DK282" i="22"/>
  <c r="CD282" i="22"/>
  <c r="CF282" i="22" s="1"/>
  <c r="BE283" i="22"/>
  <c r="CI282" i="22"/>
  <c r="AV283" i="22"/>
  <c r="CS282" i="22"/>
  <c r="BM282" i="22"/>
  <c r="DM281" i="22"/>
  <c r="DN281" i="22"/>
  <c r="DG281" i="22"/>
  <c r="DF281" i="22"/>
  <c r="DO281" i="22"/>
  <c r="DE281" i="22"/>
  <c r="J407" i="21"/>
  <c r="J408" i="21" s="1"/>
  <c r="CK281" i="22" l="1"/>
  <c r="CL281" i="22"/>
  <c r="CJ282" i="22"/>
  <c r="CK282" i="22" s="1"/>
  <c r="BM283" i="22"/>
  <c r="CS283" i="22"/>
  <c r="AV284" i="22"/>
  <c r="CD283" i="22"/>
  <c r="CF283" i="22" s="1"/>
  <c r="BE284" i="22"/>
  <c r="DC283" i="22"/>
  <c r="DK283" i="22"/>
  <c r="BY283" i="22"/>
  <c r="CA283" i="22" s="1"/>
  <c r="CI283" i="22"/>
  <c r="CJ283" i="22" s="1"/>
  <c r="CK283" i="22" s="1"/>
  <c r="BO283" i="22"/>
  <c r="DM282" i="22"/>
  <c r="DN282" i="22"/>
  <c r="DF282" i="22"/>
  <c r="DO282" i="22"/>
  <c r="DE282" i="22"/>
  <c r="DG282" i="22"/>
  <c r="BN283" i="22"/>
  <c r="BB284" i="22"/>
  <c r="BS283" i="22"/>
  <c r="CY283" i="22"/>
  <c r="CW283" i="22"/>
  <c r="CT283" i="22"/>
  <c r="BQ283" i="22"/>
  <c r="J409" i="21"/>
  <c r="J410" i="21" s="1"/>
  <c r="J411" i="21" s="1"/>
  <c r="J412" i="21" s="1"/>
  <c r="J413" i="21" s="1"/>
  <c r="CL283" i="22" l="1"/>
  <c r="CL282" i="22"/>
  <c r="CM283" i="22"/>
  <c r="CM282" i="22"/>
  <c r="DM283" i="22"/>
  <c r="DN283" i="22"/>
  <c r="DO283" i="22"/>
  <c r="DE283" i="22"/>
  <c r="DG283" i="22"/>
  <c r="DF283" i="22"/>
  <c r="CI284" i="22"/>
  <c r="DC284" i="22"/>
  <c r="BE285" i="22"/>
  <c r="CD284" i="22"/>
  <c r="CF284" i="22" s="1"/>
  <c r="BO284" i="22"/>
  <c r="BY284" i="22"/>
  <c r="CA284" i="22" s="1"/>
  <c r="DK284" i="22"/>
  <c r="BN284" i="22"/>
  <c r="BS284" i="22"/>
  <c r="BQ284" i="22"/>
  <c r="CW284" i="22"/>
  <c r="CT284" i="22"/>
  <c r="CY284" i="22"/>
  <c r="BB285" i="22"/>
  <c r="AV285" i="22"/>
  <c r="BM284" i="22"/>
  <c r="CS284" i="22"/>
  <c r="J414" i="21"/>
  <c r="CJ284" i="22" l="1"/>
  <c r="CL284" i="22" s="1"/>
  <c r="DO284" i="22"/>
  <c r="DG284" i="22"/>
  <c r="DF284" i="22"/>
  <c r="DE284" i="22"/>
  <c r="AV286" i="22"/>
  <c r="BM285" i="22"/>
  <c r="CS285" i="22"/>
  <c r="DM284" i="22"/>
  <c r="DN284" i="22"/>
  <c r="CT285" i="22"/>
  <c r="BQ285" i="22"/>
  <c r="CY285" i="22"/>
  <c r="BS285" i="22"/>
  <c r="BN285" i="22"/>
  <c r="CW285" i="22"/>
  <c r="BB286" i="22"/>
  <c r="CI285" i="22"/>
  <c r="BE286" i="22"/>
  <c r="BO285" i="22"/>
  <c r="CD285" i="22"/>
  <c r="CF285" i="22" s="1"/>
  <c r="DK285" i="22"/>
  <c r="BY285" i="22"/>
  <c r="CA285" i="22" s="1"/>
  <c r="DC285" i="22"/>
  <c r="J415" i="21"/>
  <c r="CM284" i="22" l="1"/>
  <c r="CK284" i="22"/>
  <c r="CJ285" i="22"/>
  <c r="CL285" i="22" s="1"/>
  <c r="CS286" i="22"/>
  <c r="BM286" i="22"/>
  <c r="AV287" i="22"/>
  <c r="DM285" i="22"/>
  <c r="DN285" i="22"/>
  <c r="DK286" i="22"/>
  <c r="CD286" i="22"/>
  <c r="CF286" i="22" s="1"/>
  <c r="BO286" i="22"/>
  <c r="BE287" i="22"/>
  <c r="CI286" i="22"/>
  <c r="CJ286" i="22" s="1"/>
  <c r="CL286" i="22" s="1"/>
  <c r="DC286" i="22"/>
  <c r="BY286" i="22"/>
  <c r="CA286" i="22" s="1"/>
  <c r="BQ286" i="22"/>
  <c r="BN286" i="22"/>
  <c r="BB287" i="22"/>
  <c r="BS286" i="22"/>
  <c r="CW286" i="22"/>
  <c r="CY286" i="22"/>
  <c r="CT286" i="22"/>
  <c r="DF285" i="22"/>
  <c r="DE285" i="22"/>
  <c r="DO285" i="22"/>
  <c r="DG285" i="22"/>
  <c r="J416" i="21"/>
  <c r="CM285" i="22" l="1"/>
  <c r="CK285" i="22"/>
  <c r="CM286" i="22"/>
  <c r="CK286" i="22"/>
  <c r="BQ287" i="22"/>
  <c r="BB288" i="22"/>
  <c r="BN287" i="22"/>
  <c r="CY287" i="22"/>
  <c r="BS287" i="22"/>
  <c r="CT287" i="22"/>
  <c r="CW287" i="22"/>
  <c r="DN286" i="22"/>
  <c r="DM286" i="22"/>
  <c r="DF286" i="22"/>
  <c r="DO286" i="22"/>
  <c r="DE286" i="22"/>
  <c r="DG286" i="22"/>
  <c r="CS287" i="22"/>
  <c r="AV288" i="22"/>
  <c r="BM287" i="22"/>
  <c r="DK287" i="22"/>
  <c r="BY287" i="22"/>
  <c r="CA287" i="22" s="1"/>
  <c r="BO287" i="22"/>
  <c r="CD287" i="22"/>
  <c r="CF287" i="22" s="1"/>
  <c r="BE288" i="22"/>
  <c r="CI287" i="22"/>
  <c r="DC287" i="22"/>
  <c r="J417" i="21"/>
  <c r="CJ287" i="22" l="1"/>
  <c r="CM287" i="22" s="1"/>
  <c r="DO287" i="22"/>
  <c r="DG287" i="22"/>
  <c r="DF287" i="22"/>
  <c r="DE287" i="22"/>
  <c r="BM288" i="22"/>
  <c r="AV289" i="22"/>
  <c r="CS288" i="22"/>
  <c r="DK288" i="22"/>
  <c r="DC288" i="22"/>
  <c r="BE289" i="22"/>
  <c r="BY288" i="22"/>
  <c r="CA288" i="22" s="1"/>
  <c r="BO288" i="22"/>
  <c r="CD288" i="22"/>
  <c r="CF288" i="22" s="1"/>
  <c r="CI288" i="22"/>
  <c r="DN287" i="22"/>
  <c r="DM287" i="22"/>
  <c r="CW288" i="22"/>
  <c r="BS288" i="22"/>
  <c r="CY288" i="22"/>
  <c r="BN288" i="22"/>
  <c r="CT288" i="22"/>
  <c r="BQ288" i="22"/>
  <c r="BB289" i="22"/>
  <c r="J418" i="21"/>
  <c r="CK287" i="22" l="1"/>
  <c r="CL287" i="22"/>
  <c r="CJ288" i="22"/>
  <c r="CM288" i="22" s="1"/>
  <c r="BM289" i="22"/>
  <c r="AV290" i="22"/>
  <c r="CS289" i="22"/>
  <c r="CI289" i="22"/>
  <c r="CD289" i="22"/>
  <c r="CF289" i="22" s="1"/>
  <c r="DK289" i="22"/>
  <c r="BO289" i="22"/>
  <c r="BE290" i="22"/>
  <c r="DC289" i="22"/>
  <c r="BY289" i="22"/>
  <c r="CA289" i="22" s="1"/>
  <c r="CT289" i="22"/>
  <c r="BQ289" i="22"/>
  <c r="CY289" i="22"/>
  <c r="BS289" i="22"/>
  <c r="BB290" i="22"/>
  <c r="BN289" i="22"/>
  <c r="CW289" i="22"/>
  <c r="DF288" i="22"/>
  <c r="DE288" i="22"/>
  <c r="DG288" i="22"/>
  <c r="DO288" i="22"/>
  <c r="DM288" i="22"/>
  <c r="DN288" i="22"/>
  <c r="J419" i="21"/>
  <c r="CL288" i="22" l="1"/>
  <c r="CJ289" i="22"/>
  <c r="CL289" i="22" s="1"/>
  <c r="CK288" i="22"/>
  <c r="BS290" i="22"/>
  <c r="BQ290" i="22"/>
  <c r="CT290" i="22"/>
  <c r="CW290" i="22"/>
  <c r="BB291" i="22"/>
  <c r="BN290" i="22"/>
  <c r="CY290" i="22"/>
  <c r="DN289" i="22"/>
  <c r="DM289" i="22"/>
  <c r="DG289" i="22"/>
  <c r="DO289" i="22"/>
  <c r="DE289" i="22"/>
  <c r="DF289" i="22"/>
  <c r="CS290" i="22"/>
  <c r="BM290" i="22"/>
  <c r="AV291" i="22"/>
  <c r="BY290" i="22"/>
  <c r="CA290" i="22" s="1"/>
  <c r="BO290" i="22"/>
  <c r="CI290" i="22"/>
  <c r="DC290" i="22"/>
  <c r="CD290" i="22"/>
  <c r="CF290" i="22" s="1"/>
  <c r="BE291" i="22"/>
  <c r="DK290" i="22"/>
  <c r="J420" i="21"/>
  <c r="CK289" i="22" l="1"/>
  <c r="CM289" i="22"/>
  <c r="CJ290" i="22"/>
  <c r="CM290" i="22" s="1"/>
  <c r="DM290" i="22"/>
  <c r="DN290" i="22"/>
  <c r="CD291" i="22"/>
  <c r="CF291" i="22" s="1"/>
  <c r="DC291" i="22"/>
  <c r="DK291" i="22"/>
  <c r="BE292" i="22"/>
  <c r="BO291" i="22"/>
  <c r="CI291" i="22"/>
  <c r="BY291" i="22"/>
  <c r="CA291" i="22" s="1"/>
  <c r="BN291" i="22"/>
  <c r="BS291" i="22"/>
  <c r="CT291" i="22"/>
  <c r="BQ291" i="22"/>
  <c r="CW291" i="22"/>
  <c r="CY291" i="22"/>
  <c r="BB292" i="22"/>
  <c r="DF290" i="22"/>
  <c r="DG290" i="22"/>
  <c r="DO290" i="22"/>
  <c r="DE290" i="22"/>
  <c r="CS291" i="22"/>
  <c r="BM291" i="22"/>
  <c r="AV292" i="22"/>
  <c r="J421" i="21"/>
  <c r="CK290" i="22" l="1"/>
  <c r="CL290" i="22"/>
  <c r="CJ291" i="22"/>
  <c r="CD292" i="22"/>
  <c r="CF292" i="22" s="1"/>
  <c r="BE293" i="22"/>
  <c r="BY292" i="22"/>
  <c r="CA292" i="22" s="1"/>
  <c r="DK292" i="22"/>
  <c r="DC292" i="22"/>
  <c r="BO292" i="22"/>
  <c r="CI292" i="22"/>
  <c r="DN291" i="22"/>
  <c r="DM291" i="22"/>
  <c r="AV293" i="22"/>
  <c r="BM292" i="22"/>
  <c r="CS292" i="22"/>
  <c r="DO291" i="22"/>
  <c r="DE291" i="22"/>
  <c r="DG291" i="22"/>
  <c r="DF291" i="22"/>
  <c r="CW292" i="22"/>
  <c r="BS292" i="22"/>
  <c r="BN292" i="22"/>
  <c r="BQ292" i="22"/>
  <c r="BB293" i="22"/>
  <c r="CY292" i="22"/>
  <c r="CT292" i="22"/>
  <c r="J422" i="21"/>
  <c r="CM291" i="22" l="1"/>
  <c r="CK291" i="22"/>
  <c r="CJ292" i="22"/>
  <c r="CL292" i="22" s="1"/>
  <c r="CL291" i="22"/>
  <c r="CT293" i="22"/>
  <c r="BS293" i="22"/>
  <c r="CY293" i="22"/>
  <c r="BB294" i="22"/>
  <c r="BN293" i="22"/>
  <c r="BQ293" i="22"/>
  <c r="CW293" i="22"/>
  <c r="DO292" i="22"/>
  <c r="DG292" i="22"/>
  <c r="DF292" i="22"/>
  <c r="DE292" i="22"/>
  <c r="DN292" i="22"/>
  <c r="DM292" i="22"/>
  <c r="BM293" i="22"/>
  <c r="AV294" i="22"/>
  <c r="CS293" i="22"/>
  <c r="BE294" i="22"/>
  <c r="DC293" i="22"/>
  <c r="CI293" i="22"/>
  <c r="CD293" i="22"/>
  <c r="CF293" i="22" s="1"/>
  <c r="BO293" i="22"/>
  <c r="BY293" i="22"/>
  <c r="CA293" i="22" s="1"/>
  <c r="DK293" i="22"/>
  <c r="J423" i="21"/>
  <c r="CM292" i="22" l="1"/>
  <c r="CK292" i="22"/>
  <c r="CJ293" i="22"/>
  <c r="CK293" i="22" s="1"/>
  <c r="DN293" i="22"/>
  <c r="DM293" i="22"/>
  <c r="AV295" i="22"/>
  <c r="AV263" i="23" s="1"/>
  <c r="AV264" i="23" s="1"/>
  <c r="CS294" i="22"/>
  <c r="BM294" i="22"/>
  <c r="BB295" i="22"/>
  <c r="BB263" i="23" s="1"/>
  <c r="BB264" i="23" s="1"/>
  <c r="BS294" i="22"/>
  <c r="BN294" i="22"/>
  <c r="BQ294" i="22"/>
  <c r="CW294" i="22"/>
  <c r="CT294" i="22"/>
  <c r="CY294" i="22"/>
  <c r="DE293" i="22"/>
  <c r="DO293" i="22"/>
  <c r="DF293" i="22"/>
  <c r="DG293" i="22"/>
  <c r="CD294" i="22"/>
  <c r="CF294" i="22" s="1"/>
  <c r="CF295" i="22" s="1"/>
  <c r="CF298" i="22" s="1"/>
  <c r="BO294" i="22"/>
  <c r="BE295" i="22"/>
  <c r="BE263" i="23" s="1"/>
  <c r="BE264" i="23" s="1"/>
  <c r="DC294" i="22"/>
  <c r="BY294" i="22"/>
  <c r="CA294" i="22" s="1"/>
  <c r="CA295" i="22" s="1"/>
  <c r="CA298" i="22" s="1"/>
  <c r="I378" i="22" s="1"/>
  <c r="DK294" i="22"/>
  <c r="CI294" i="22"/>
  <c r="J424" i="21"/>
  <c r="J425" i="21" s="1"/>
  <c r="J426" i="21" s="1"/>
  <c r="J427" i="21" s="1"/>
  <c r="J428" i="21" s="1"/>
  <c r="J429" i="21" s="1"/>
  <c r="J430" i="21" s="1"/>
  <c r="J431" i="21" s="1"/>
  <c r="J432" i="21" s="1"/>
  <c r="J433" i="21" s="1"/>
  <c r="J434" i="21" s="1"/>
  <c r="J435" i="21" s="1"/>
  <c r="J436" i="21" s="1"/>
  <c r="J437" i="21" s="1"/>
  <c r="J438" i="21" s="1"/>
  <c r="J439" i="21" s="1"/>
  <c r="J440" i="21" s="1"/>
  <c r="J441" i="21" s="1"/>
  <c r="J442" i="21" s="1"/>
  <c r="J443" i="21" s="1"/>
  <c r="J444" i="21" s="1"/>
  <c r="J445" i="21" s="1"/>
  <c r="J446" i="21" s="1"/>
  <c r="J447" i="21" s="1"/>
  <c r="J448" i="21" s="1"/>
  <c r="J449" i="21" s="1"/>
  <c r="J450" i="21" s="1"/>
  <c r="J451" i="21" s="1"/>
  <c r="J452" i="21" s="1"/>
  <c r="J453" i="21" s="1"/>
  <c r="J454" i="21" s="1"/>
  <c r="J455" i="21" s="1"/>
  <c r="CM293" i="22" l="1"/>
  <c r="CI295" i="22"/>
  <c r="CI298" i="22" s="1"/>
  <c r="CJ294" i="22"/>
  <c r="CL293" i="22"/>
  <c r="G35" i="18"/>
  <c r="DM294" i="22"/>
  <c r="DM295" i="22" s="1"/>
  <c r="DN294" i="22"/>
  <c r="DN295" i="22" s="1"/>
  <c r="BS264" i="23"/>
  <c r="BN264" i="23"/>
  <c r="BQ264" i="23"/>
  <c r="BB265" i="23"/>
  <c r="DG294" i="22"/>
  <c r="DG295" i="22" s="1"/>
  <c r="DO294" i="22"/>
  <c r="DO295" i="22" s="1"/>
  <c r="DF294" i="22"/>
  <c r="DF295" i="22" s="1"/>
  <c r="DE294" i="22"/>
  <c r="DE295" i="22" s="1"/>
  <c r="BE265" i="23"/>
  <c r="BO264" i="23"/>
  <c r="AV265" i="23"/>
  <c r="BM264" i="23"/>
  <c r="J456" i="21"/>
  <c r="J155" i="22" l="1"/>
  <c r="H152" i="22"/>
  <c r="G264" i="23"/>
  <c r="H264" i="23"/>
  <c r="M379" i="22"/>
  <c r="H380" i="22"/>
  <c r="I380" i="22" s="1"/>
  <c r="S18" i="9" s="1"/>
  <c r="H375" i="22" s="1"/>
  <c r="I375" i="22" s="1"/>
  <c r="G32" i="18" s="1"/>
  <c r="CJ295" i="22"/>
  <c r="CM294" i="22"/>
  <c r="CM295" i="22" s="1"/>
  <c r="CL294" i="22"/>
  <c r="CL295" i="22" s="1"/>
  <c r="CK294" i="22"/>
  <c r="CK295" i="22" s="1"/>
  <c r="CJ264" i="23"/>
  <c r="BO265" i="23"/>
  <c r="BE266" i="23"/>
  <c r="BQ265" i="23"/>
  <c r="BN265" i="23"/>
  <c r="BS265" i="23"/>
  <c r="BB266" i="23"/>
  <c r="BM265" i="23"/>
  <c r="AV266" i="23"/>
  <c r="J457" i="21"/>
  <c r="H265" i="23" l="1"/>
  <c r="BZ265" i="23" s="1"/>
  <c r="G265" i="23"/>
  <c r="BZ264" i="23"/>
  <c r="BX264" i="23"/>
  <c r="CU264" i="23"/>
  <c r="CE264" i="23"/>
  <c r="CC264" i="23"/>
  <c r="CH264" i="23"/>
  <c r="BY264" i="23"/>
  <c r="CS264" i="23"/>
  <c r="CW264" i="23"/>
  <c r="CI264" i="23"/>
  <c r="CT264" i="23"/>
  <c r="I264" i="23" s="1"/>
  <c r="CD264" i="23"/>
  <c r="CY264" i="23"/>
  <c r="G37" i="18"/>
  <c r="I404" i="22"/>
  <c r="G61" i="18" s="1"/>
  <c r="J375" i="22"/>
  <c r="J376" i="22" s="1"/>
  <c r="J377" i="22" s="1"/>
  <c r="J378" i="22" s="1"/>
  <c r="J379" i="22" s="1"/>
  <c r="J380" i="22" s="1"/>
  <c r="J381" i="22" s="1"/>
  <c r="J382" i="22" s="1"/>
  <c r="P404" i="22"/>
  <c r="H408" i="22" s="1"/>
  <c r="I408" i="22" s="1"/>
  <c r="G65" i="18" s="1"/>
  <c r="CJ265" i="23"/>
  <c r="A165" i="22"/>
  <c r="A157" i="22"/>
  <c r="A162" i="22"/>
  <c r="A164" i="22"/>
  <c r="BE267" i="23"/>
  <c r="BO266" i="23"/>
  <c r="BN266" i="23"/>
  <c r="BQ266" i="23"/>
  <c r="BS266" i="23"/>
  <c r="BB267" i="23"/>
  <c r="AV267" i="23"/>
  <c r="BM266" i="23"/>
  <c r="I64" i="21"/>
  <c r="H64" i="21"/>
  <c r="P64" i="21"/>
  <c r="J64" i="21"/>
  <c r="A64" i="21"/>
  <c r="J65" i="21"/>
  <c r="H65" i="21"/>
  <c r="P65" i="21"/>
  <c r="I65" i="21"/>
  <c r="A65" i="21"/>
  <c r="A81" i="21"/>
  <c r="J81" i="21"/>
  <c r="P81" i="21"/>
  <c r="I81" i="21"/>
  <c r="H81" i="21"/>
  <c r="P99" i="21"/>
  <c r="I66" i="21"/>
  <c r="J66" i="21"/>
  <c r="P66" i="21"/>
  <c r="H66" i="21"/>
  <c r="A66" i="21"/>
  <c r="A82" i="21"/>
  <c r="P82" i="21"/>
  <c r="J82" i="21"/>
  <c r="I82" i="21"/>
  <c r="H82" i="21"/>
  <c r="H84" i="21"/>
  <c r="J85" i="21"/>
  <c r="H85" i="21"/>
  <c r="P84" i="21"/>
  <c r="I84" i="21"/>
  <c r="I85" i="21"/>
  <c r="A84" i="21"/>
  <c r="J84" i="21"/>
  <c r="A83" i="21"/>
  <c r="I83" i="21"/>
  <c r="J83" i="21"/>
  <c r="H83" i="21"/>
  <c r="A85" i="21"/>
  <c r="P85" i="21"/>
  <c r="P83" i="21"/>
  <c r="A72" i="21"/>
  <c r="H74" i="21"/>
  <c r="I87" i="21"/>
  <c r="H88" i="21"/>
  <c r="I89" i="21"/>
  <c r="A87" i="21"/>
  <c r="P87" i="21"/>
  <c r="J89" i="21"/>
  <c r="P88" i="21"/>
  <c r="P89" i="21"/>
  <c r="H87" i="21"/>
  <c r="P90" i="21"/>
  <c r="J90" i="21"/>
  <c r="A86" i="21"/>
  <c r="J88" i="21"/>
  <c r="I88" i="21"/>
  <c r="H90" i="21"/>
  <c r="I86" i="21"/>
  <c r="A90" i="21"/>
  <c r="I90" i="21"/>
  <c r="J87" i="21"/>
  <c r="A89" i="21"/>
  <c r="J86" i="21"/>
  <c r="A88" i="21"/>
  <c r="H86" i="21"/>
  <c r="P86" i="21"/>
  <c r="H89" i="21"/>
  <c r="P72" i="21"/>
  <c r="J67" i="21"/>
  <c r="J70" i="21"/>
  <c r="H68" i="21"/>
  <c r="H67" i="21"/>
  <c r="I72" i="21"/>
  <c r="H70" i="21"/>
  <c r="P67" i="21"/>
  <c r="A69" i="21"/>
  <c r="I67" i="21"/>
  <c r="H72" i="21"/>
  <c r="H71" i="21"/>
  <c r="J68" i="21"/>
  <c r="I70" i="21"/>
  <c r="A68" i="21"/>
  <c r="P69" i="21"/>
  <c r="P70" i="21"/>
  <c r="J72" i="21"/>
  <c r="J71" i="21"/>
  <c r="I68" i="21"/>
  <c r="P71" i="21"/>
  <c r="J69" i="21"/>
  <c r="P68" i="21"/>
  <c r="A67" i="21"/>
  <c r="H69" i="21"/>
  <c r="A71" i="21"/>
  <c r="I71" i="21"/>
  <c r="A70" i="21"/>
  <c r="I69" i="21"/>
  <c r="I73" i="21"/>
  <c r="H73" i="21"/>
  <c r="J73" i="21"/>
  <c r="A73" i="21"/>
  <c r="A74" i="21"/>
  <c r="P73" i="21"/>
  <c r="J74" i="21"/>
  <c r="I74" i="21"/>
  <c r="P74" i="21"/>
  <c r="P75" i="21"/>
  <c r="J75" i="21"/>
  <c r="A75" i="21"/>
  <c r="H75" i="21"/>
  <c r="I75" i="21"/>
  <c r="P91" i="21"/>
  <c r="J91" i="21"/>
  <c r="I91" i="21"/>
  <c r="H91" i="21"/>
  <c r="A91" i="21"/>
  <c r="J92" i="21"/>
  <c r="P93" i="21"/>
  <c r="H93" i="21"/>
  <c r="I92" i="21"/>
  <c r="H92" i="21"/>
  <c r="J93" i="21"/>
  <c r="P92" i="21"/>
  <c r="I93" i="21"/>
  <c r="A92" i="21"/>
  <c r="A93" i="21"/>
  <c r="A76" i="21"/>
  <c r="P76" i="21"/>
  <c r="H76" i="21"/>
  <c r="J76" i="21"/>
  <c r="I76" i="21"/>
  <c r="I94" i="21"/>
  <c r="A94" i="21"/>
  <c r="H94" i="21"/>
  <c r="P94" i="21"/>
  <c r="J94" i="21"/>
  <c r="J77" i="21"/>
  <c r="P77" i="21"/>
  <c r="I77" i="21"/>
  <c r="A77" i="21"/>
  <c r="H77" i="21"/>
  <c r="P95" i="21"/>
  <c r="J95" i="21"/>
  <c r="I95" i="21"/>
  <c r="A95" i="21"/>
  <c r="H95" i="21"/>
  <c r="P78" i="21"/>
  <c r="I78" i="21"/>
  <c r="H78" i="21"/>
  <c r="A78" i="21"/>
  <c r="J78" i="21"/>
  <c r="A96" i="21"/>
  <c r="P96" i="21"/>
  <c r="I96" i="21"/>
  <c r="H96" i="21"/>
  <c r="J96" i="21"/>
  <c r="H79" i="21"/>
  <c r="A79" i="21"/>
  <c r="I79" i="21"/>
  <c r="J79" i="21"/>
  <c r="P79" i="21"/>
  <c r="P97" i="21"/>
  <c r="J97" i="21"/>
  <c r="I97" i="21"/>
  <c r="A97" i="21"/>
  <c r="H97" i="21"/>
  <c r="P80" i="21"/>
  <c r="I80" i="21"/>
  <c r="J80" i="21"/>
  <c r="H80" i="21"/>
  <c r="A80" i="21"/>
  <c r="P143" i="21"/>
  <c r="I99" i="21"/>
  <c r="J100" i="21"/>
  <c r="J140" i="21"/>
  <c r="J135" i="21"/>
  <c r="J113" i="21"/>
  <c r="H108" i="21"/>
  <c r="I135" i="21"/>
  <c r="P114" i="21"/>
  <c r="J111" i="21"/>
  <c r="A117" i="21"/>
  <c r="J128" i="21"/>
  <c r="H120" i="21"/>
  <c r="I119" i="21"/>
  <c r="A136" i="21"/>
  <c r="H136" i="21"/>
  <c r="P122" i="21"/>
  <c r="I144" i="21"/>
  <c r="I127" i="21"/>
  <c r="H104" i="21"/>
  <c r="H110" i="21"/>
  <c r="J133" i="21"/>
  <c r="H134" i="21"/>
  <c r="A137" i="21"/>
  <c r="A133" i="21"/>
  <c r="A132" i="21"/>
  <c r="A116" i="21"/>
  <c r="I107" i="21"/>
  <c r="A135" i="21"/>
  <c r="H127" i="21"/>
  <c r="A99" i="21"/>
  <c r="J101" i="21"/>
  <c r="H142" i="21"/>
  <c r="P106" i="21"/>
  <c r="H107" i="21"/>
  <c r="A125" i="21"/>
  <c r="H126" i="21"/>
  <c r="H109" i="21"/>
  <c r="J108" i="21"/>
  <c r="H111" i="21"/>
  <c r="I137" i="21"/>
  <c r="H102" i="21"/>
  <c r="I104" i="21"/>
  <c r="P125" i="21"/>
  <c r="J134" i="21"/>
  <c r="I114" i="21"/>
  <c r="P138" i="21"/>
  <c r="H122" i="21"/>
  <c r="J143" i="21"/>
  <c r="J115" i="21"/>
  <c r="A122" i="21"/>
  <c r="H129" i="21"/>
  <c r="H105" i="21"/>
  <c r="I105" i="21"/>
  <c r="I109" i="21"/>
  <c r="I122" i="21"/>
  <c r="P102" i="21"/>
  <c r="P124" i="21"/>
  <c r="H106" i="21"/>
  <c r="H99" i="21"/>
  <c r="I101" i="21"/>
  <c r="H141" i="21"/>
  <c r="I142" i="21"/>
  <c r="J125" i="21"/>
  <c r="A104" i="21"/>
  <c r="P111" i="21"/>
  <c r="H124" i="21"/>
  <c r="A138" i="21"/>
  <c r="I116" i="21"/>
  <c r="P120" i="21"/>
  <c r="I134" i="21"/>
  <c r="H139" i="21"/>
  <c r="I139" i="21"/>
  <c r="A143" i="21"/>
  <c r="A110" i="21"/>
  <c r="P104" i="21"/>
  <c r="A141" i="21"/>
  <c r="P126" i="21"/>
  <c r="A144" i="21"/>
  <c r="P108" i="21"/>
  <c r="I120" i="21"/>
  <c r="I125" i="21"/>
  <c r="I121" i="21"/>
  <c r="A106" i="21"/>
  <c r="P135" i="21"/>
  <c r="J144" i="21"/>
  <c r="P141" i="21"/>
  <c r="H143" i="21"/>
  <c r="A98" i="21"/>
  <c r="J99" i="21"/>
  <c r="P101" i="21"/>
  <c r="A105" i="21"/>
  <c r="P119" i="21"/>
  <c r="I136" i="21"/>
  <c r="H119" i="21"/>
  <c r="P132" i="21"/>
  <c r="I110" i="21"/>
  <c r="I123" i="21"/>
  <c r="P127" i="21"/>
  <c r="J106" i="21"/>
  <c r="J122" i="21"/>
  <c r="P129" i="21"/>
  <c r="J142" i="21"/>
  <c r="H121" i="21"/>
  <c r="P110" i="21"/>
  <c r="P107" i="21"/>
  <c r="H115" i="21"/>
  <c r="J116" i="21"/>
  <c r="P105" i="21"/>
  <c r="I126" i="21"/>
  <c r="J132" i="21"/>
  <c r="I103" i="21"/>
  <c r="P117" i="21"/>
  <c r="P137" i="21"/>
  <c r="J129" i="21"/>
  <c r="P133" i="21"/>
  <c r="I117" i="21"/>
  <c r="H101" i="21"/>
  <c r="H98" i="21"/>
  <c r="P100" i="21"/>
  <c r="A101" i="21"/>
  <c r="H112" i="21"/>
  <c r="J109" i="21"/>
  <c r="A120" i="21"/>
  <c r="I138" i="21"/>
  <c r="I102" i="21"/>
  <c r="J121" i="21"/>
  <c r="H131" i="21"/>
  <c r="P113" i="21"/>
  <c r="J104" i="21"/>
  <c r="P130" i="21"/>
  <c r="H132" i="21"/>
  <c r="J130" i="21"/>
  <c r="J105" i="21"/>
  <c r="I118" i="21"/>
  <c r="J107" i="21"/>
  <c r="J141" i="21"/>
  <c r="P118" i="21"/>
  <c r="J110" i="21"/>
  <c r="A124" i="21"/>
  <c r="A126" i="21"/>
  <c r="I140" i="21"/>
  <c r="P142" i="21"/>
  <c r="P134" i="21"/>
  <c r="J123" i="21"/>
  <c r="A142" i="21"/>
  <c r="A111" i="21"/>
  <c r="J98" i="21"/>
  <c r="H100" i="21"/>
  <c r="A115" i="21"/>
  <c r="P116" i="21"/>
  <c r="I111" i="21"/>
  <c r="P136" i="21"/>
  <c r="H130" i="21"/>
  <c r="H137" i="21"/>
  <c r="A123" i="21"/>
  <c r="I128" i="21"/>
  <c r="I112" i="21"/>
  <c r="J136" i="21"/>
  <c r="H113" i="21"/>
  <c r="J102" i="21"/>
  <c r="A139" i="21"/>
  <c r="A130" i="21"/>
  <c r="A112" i="21"/>
  <c r="P144" i="21"/>
  <c r="J131" i="21"/>
  <c r="A118" i="21"/>
  <c r="I131" i="21"/>
  <c r="H118" i="21"/>
  <c r="A102" i="21"/>
  <c r="J114" i="21"/>
  <c r="A131" i="21"/>
  <c r="P128" i="21"/>
  <c r="A103" i="21"/>
  <c r="A109" i="21"/>
  <c r="A134" i="21"/>
  <c r="P98" i="21"/>
  <c r="A100" i="21"/>
  <c r="P103" i="21"/>
  <c r="H133" i="21"/>
  <c r="H114" i="21"/>
  <c r="I132" i="21"/>
  <c r="J126" i="21"/>
  <c r="P139" i="21"/>
  <c r="A127" i="21"/>
  <c r="P121" i="21"/>
  <c r="H144" i="21"/>
  <c r="J139" i="21"/>
  <c r="P123" i="21"/>
  <c r="J118" i="21"/>
  <c r="P112" i="21"/>
  <c r="J117" i="21"/>
  <c r="J119" i="21"/>
  <c r="A140" i="21"/>
  <c r="I129" i="21"/>
  <c r="I124" i="21"/>
  <c r="H128" i="21"/>
  <c r="I113" i="21"/>
  <c r="I115" i="21"/>
  <c r="J138" i="21"/>
  <c r="J127" i="21"/>
  <c r="A129" i="21"/>
  <c r="P109" i="21"/>
  <c r="P131" i="21"/>
  <c r="I141" i="21"/>
  <c r="I98" i="21"/>
  <c r="I100" i="21"/>
  <c r="A119" i="21"/>
  <c r="P115" i="21"/>
  <c r="A121" i="21"/>
  <c r="J120" i="21"/>
  <c r="H135" i="21"/>
  <c r="H117" i="21"/>
  <c r="A107" i="21"/>
  <c r="H116" i="21"/>
  <c r="H138" i="21"/>
  <c r="A128" i="21"/>
  <c r="I133" i="21"/>
  <c r="J103" i="21"/>
  <c r="P140" i="21"/>
  <c r="H123" i="21"/>
  <c r="J112" i="21"/>
  <c r="I143" i="21"/>
  <c r="J124" i="21"/>
  <c r="H103" i="21"/>
  <c r="I106" i="21"/>
  <c r="J137" i="21"/>
  <c r="I130" i="21"/>
  <c r="A114" i="21"/>
  <c r="H140" i="21"/>
  <c r="I108" i="21"/>
  <c r="A113" i="21"/>
  <c r="H125" i="21"/>
  <c r="A108" i="21"/>
  <c r="J383" i="22"/>
  <c r="CM264" i="23" l="1"/>
  <c r="H407" i="22"/>
  <c r="I407" i="22" s="1"/>
  <c r="G64" i="18" s="1"/>
  <c r="CF264" i="23"/>
  <c r="CL264" i="23"/>
  <c r="CA264" i="23"/>
  <c r="DI264" i="23"/>
  <c r="DJ264" i="23"/>
  <c r="DB264" i="23"/>
  <c r="DA264" i="23"/>
  <c r="DD264" i="23"/>
  <c r="DK264" i="23"/>
  <c r="DC264" i="23"/>
  <c r="H266" i="23"/>
  <c r="G266" i="23"/>
  <c r="CK264" i="23"/>
  <c r="CU265" i="23"/>
  <c r="BX265" i="23"/>
  <c r="CH265" i="23"/>
  <c r="CE265" i="23"/>
  <c r="CC265" i="23"/>
  <c r="CY265" i="23"/>
  <c r="CS265" i="23"/>
  <c r="CW265" i="23"/>
  <c r="CT265" i="23"/>
  <c r="I265" i="23" s="1"/>
  <c r="CD265" i="23"/>
  <c r="BY265" i="23"/>
  <c r="CI265" i="23"/>
  <c r="H432" i="22"/>
  <c r="I432" i="22" s="1"/>
  <c r="G89" i="18" s="1"/>
  <c r="H409" i="22"/>
  <c r="I409" i="22" s="1"/>
  <c r="G66" i="18" s="1"/>
  <c r="P413" i="22"/>
  <c r="H412" i="22"/>
  <c r="I412" i="22" s="1"/>
  <c r="G69" i="18" s="1"/>
  <c r="H411" i="22"/>
  <c r="I411" i="22" s="1"/>
  <c r="G68" i="18" s="1"/>
  <c r="P412" i="22"/>
  <c r="P407" i="22"/>
  <c r="P411" i="22"/>
  <c r="P409" i="22"/>
  <c r="P408" i="22"/>
  <c r="CJ266" i="23"/>
  <c r="A167" i="22"/>
  <c r="A169" i="22"/>
  <c r="A172" i="22"/>
  <c r="A175" i="22"/>
  <c r="F169" i="22"/>
  <c r="A177" i="22"/>
  <c r="A160" i="22"/>
  <c r="F160" i="22"/>
  <c r="A163" i="22"/>
  <c r="F163" i="22"/>
  <c r="F165" i="22"/>
  <c r="F167" i="22" s="1"/>
  <c r="A166" i="22"/>
  <c r="BS267" i="23"/>
  <c r="BB268" i="23"/>
  <c r="BQ267" i="23"/>
  <c r="BN267" i="23"/>
  <c r="A159" i="22"/>
  <c r="F159" i="22"/>
  <c r="A161" i="22"/>
  <c r="AV268" i="23"/>
  <c r="BM267" i="23"/>
  <c r="BO267" i="23"/>
  <c r="BE268" i="23"/>
  <c r="F158" i="22"/>
  <c r="A158" i="22"/>
  <c r="J384" i="22"/>
  <c r="P59" i="22"/>
  <c r="G59" i="22"/>
  <c r="G58" i="22"/>
  <c r="E62" i="22"/>
  <c r="P62" i="22"/>
  <c r="CK265" i="23" l="1"/>
  <c r="CL265" i="23"/>
  <c r="CM265" i="23"/>
  <c r="CF265" i="23"/>
  <c r="DI265" i="23"/>
  <c r="DJ265" i="23"/>
  <c r="DB265" i="23"/>
  <c r="DD265" i="23"/>
  <c r="DA265" i="23"/>
  <c r="DC265" i="23"/>
  <c r="DK265" i="23"/>
  <c r="DG264" i="23"/>
  <c r="DE264" i="23"/>
  <c r="DO264" i="23"/>
  <c r="DF264" i="23"/>
  <c r="DN264" i="23"/>
  <c r="H267" i="23"/>
  <c r="BZ267" i="23" s="1"/>
  <c r="G267" i="23"/>
  <c r="CU266" i="23"/>
  <c r="BX266" i="23"/>
  <c r="CE266" i="23"/>
  <c r="CC266" i="23"/>
  <c r="CH266" i="23"/>
  <c r="CS266" i="23"/>
  <c r="BY266" i="23"/>
  <c r="CY266" i="23"/>
  <c r="CD266" i="23"/>
  <c r="CT266" i="23"/>
  <c r="I266" i="23" s="1"/>
  <c r="CW266" i="23"/>
  <c r="CI266" i="23"/>
  <c r="CA265" i="23"/>
  <c r="BZ266" i="23"/>
  <c r="DM264" i="23"/>
  <c r="M435" i="22"/>
  <c r="I428" i="22"/>
  <c r="G85" i="18" s="1"/>
  <c r="P427" i="22"/>
  <c r="P428" i="22" s="1"/>
  <c r="F162" i="22"/>
  <c r="CJ267" i="23"/>
  <c r="A178" i="22"/>
  <c r="A170" i="22"/>
  <c r="F170" i="22"/>
  <c r="F173" i="22" s="1"/>
  <c r="A173" i="22"/>
  <c r="A171" i="22"/>
  <c r="F171" i="22"/>
  <c r="F174" i="22"/>
  <c r="A174" i="22"/>
  <c r="A176" i="22"/>
  <c r="F176" i="22"/>
  <c r="F178" i="22" s="1"/>
  <c r="BO268" i="23"/>
  <c r="BE269" i="23"/>
  <c r="BN268" i="23"/>
  <c r="BQ268" i="23"/>
  <c r="BS268" i="23"/>
  <c r="BB269" i="23"/>
  <c r="BM268" i="23"/>
  <c r="AV269" i="23"/>
  <c r="A188" i="22"/>
  <c r="F180" i="22"/>
  <c r="A183" i="22"/>
  <c r="A186" i="22"/>
  <c r="A180" i="22"/>
  <c r="F179" i="22"/>
  <c r="J385" i="22"/>
  <c r="CL266" i="23" l="1"/>
  <c r="DJ266" i="23"/>
  <c r="DI266" i="23"/>
  <c r="DD266" i="23"/>
  <c r="DA266" i="23"/>
  <c r="DB266" i="23"/>
  <c r="DC266" i="23"/>
  <c r="DK266" i="23"/>
  <c r="BX267" i="23"/>
  <c r="CU267" i="23"/>
  <c r="CC267" i="23"/>
  <c r="CH267" i="23"/>
  <c r="CE267" i="23"/>
  <c r="CT267" i="23"/>
  <c r="I267" i="23" s="1"/>
  <c r="CI267" i="23"/>
  <c r="CY267" i="23"/>
  <c r="BY267" i="23"/>
  <c r="CA267" i="23" s="1"/>
  <c r="CS267" i="23"/>
  <c r="CW267" i="23"/>
  <c r="CD267" i="23"/>
  <c r="G268" i="23"/>
  <c r="H268" i="23"/>
  <c r="BZ268" i="23" s="1"/>
  <c r="CK266" i="23"/>
  <c r="CF266" i="23"/>
  <c r="DG265" i="23"/>
  <c r="DO265" i="23"/>
  <c r="DE265" i="23"/>
  <c r="DF265" i="23"/>
  <c r="DN265" i="23"/>
  <c r="CM266" i="23"/>
  <c r="CA266" i="23"/>
  <c r="DM265" i="23"/>
  <c r="G155" i="22"/>
  <c r="I430" i="22"/>
  <c r="F155" i="22" s="1"/>
  <c r="A182" i="22"/>
  <c r="F182" i="22"/>
  <c r="F181" i="22"/>
  <c r="F184" i="22" s="1"/>
  <c r="A181" i="22"/>
  <c r="A185" i="22"/>
  <c r="F185" i="22"/>
  <c r="F187" i="22"/>
  <c r="F189" i="22" s="1"/>
  <c r="A187" i="22"/>
  <c r="BM269" i="23"/>
  <c r="AV270" i="23"/>
  <c r="A189" i="22"/>
  <c r="A184" i="22"/>
  <c r="BN269" i="23"/>
  <c r="BQ269" i="23"/>
  <c r="BS269" i="23"/>
  <c r="BB270" i="23"/>
  <c r="BE270" i="23"/>
  <c r="BO269" i="23"/>
  <c r="J386" i="22"/>
  <c r="CM267" i="23" l="1"/>
  <c r="CK267" i="23"/>
  <c r="CL267" i="23"/>
  <c r="DI267" i="23"/>
  <c r="DJ267" i="23"/>
  <c r="DD267" i="23"/>
  <c r="DA267" i="23"/>
  <c r="DB267" i="23"/>
  <c r="DK267" i="23"/>
  <c r="DC267" i="23"/>
  <c r="G269" i="23"/>
  <c r="H269" i="23"/>
  <c r="BX268" i="23"/>
  <c r="CU268" i="23"/>
  <c r="CH268" i="23"/>
  <c r="CC268" i="23"/>
  <c r="CE268" i="23"/>
  <c r="CW268" i="23"/>
  <c r="CI268" i="23"/>
  <c r="CJ268" i="23" s="1"/>
  <c r="CT268" i="23"/>
  <c r="I268" i="23" s="1"/>
  <c r="CS268" i="23"/>
  <c r="CD268" i="23"/>
  <c r="BY268" i="23"/>
  <c r="CY268" i="23"/>
  <c r="CF267" i="23"/>
  <c r="DG266" i="23"/>
  <c r="DE266" i="23"/>
  <c r="DF266" i="23"/>
  <c r="DO266" i="23"/>
  <c r="DM266" i="23"/>
  <c r="DN266" i="23"/>
  <c r="I447" i="22"/>
  <c r="G104" i="18" s="1"/>
  <c r="G87" i="18"/>
  <c r="CJ269" i="23"/>
  <c r="BO270" i="23"/>
  <c r="BE271" i="23"/>
  <c r="AV271" i="23"/>
  <c r="BM270" i="23"/>
  <c r="BB271" i="23"/>
  <c r="BQ270" i="23"/>
  <c r="BS270" i="23"/>
  <c r="BN270" i="23"/>
  <c r="J387" i="22"/>
  <c r="CA268" i="23" l="1"/>
  <c r="CM268" i="23"/>
  <c r="CF268" i="23"/>
  <c r="DI268" i="23"/>
  <c r="DJ268" i="23"/>
  <c r="DA268" i="23"/>
  <c r="DB268" i="23"/>
  <c r="DD268" i="23"/>
  <c r="DC268" i="23"/>
  <c r="DK268" i="23"/>
  <c r="CL268" i="23"/>
  <c r="CK268" i="23"/>
  <c r="H270" i="23"/>
  <c r="BZ270" i="23" s="1"/>
  <c r="G270" i="23"/>
  <c r="DG267" i="23"/>
  <c r="DE267" i="23"/>
  <c r="DO267" i="23"/>
  <c r="DF267" i="23"/>
  <c r="BZ269" i="23"/>
  <c r="DN267" i="23"/>
  <c r="BX269" i="23"/>
  <c r="CU269" i="23"/>
  <c r="CC269" i="23"/>
  <c r="CH269" i="23"/>
  <c r="CE269" i="23"/>
  <c r="CW269" i="23"/>
  <c r="CS269" i="23"/>
  <c r="CD269" i="23"/>
  <c r="CI269" i="23"/>
  <c r="CY269" i="23"/>
  <c r="CT269" i="23"/>
  <c r="I269" i="23" s="1"/>
  <c r="BY269" i="23"/>
  <c r="DM267" i="23"/>
  <c r="BE272" i="23"/>
  <c r="BO271" i="23"/>
  <c r="BQ271" i="23"/>
  <c r="BB272" i="23"/>
  <c r="BN271" i="23"/>
  <c r="BS271" i="23"/>
  <c r="BM271" i="23"/>
  <c r="AV272" i="23"/>
  <c r="J388" i="22"/>
  <c r="CA269" i="23" l="1"/>
  <c r="CL269" i="23"/>
  <c r="CF269" i="23"/>
  <c r="CK269" i="23"/>
  <c r="CM269" i="23"/>
  <c r="DI269" i="23"/>
  <c r="DJ269" i="23"/>
  <c r="DA269" i="23"/>
  <c r="DD269" i="23"/>
  <c r="DB269" i="23"/>
  <c r="DK269" i="23"/>
  <c r="DC269" i="23"/>
  <c r="H271" i="23"/>
  <c r="G271" i="23"/>
  <c r="BX270" i="23"/>
  <c r="CU270" i="23"/>
  <c r="CH270" i="23"/>
  <c r="CE270" i="23"/>
  <c r="CC270" i="23"/>
  <c r="CT270" i="23"/>
  <c r="I270" i="23" s="1"/>
  <c r="CY270" i="23"/>
  <c r="BY270" i="23"/>
  <c r="CW270" i="23"/>
  <c r="CI270" i="23"/>
  <c r="CJ270" i="23" s="1"/>
  <c r="CD270" i="23"/>
  <c r="CS270" i="23"/>
  <c r="DF268" i="23"/>
  <c r="DE268" i="23"/>
  <c r="DG268" i="23"/>
  <c r="DO268" i="23"/>
  <c r="DN268" i="23"/>
  <c r="DM268" i="23"/>
  <c r="CJ271" i="23"/>
  <c r="BM272" i="23"/>
  <c r="AV273" i="23"/>
  <c r="BS272" i="23"/>
  <c r="BQ272" i="23"/>
  <c r="BB273" i="23"/>
  <c r="BN272" i="23"/>
  <c r="BO272" i="23"/>
  <c r="BE273" i="23"/>
  <c r="J389" i="22"/>
  <c r="CM270" i="23" l="1"/>
  <c r="CF270" i="23"/>
  <c r="H272" i="23"/>
  <c r="BZ272" i="23" s="1"/>
  <c r="G272" i="23"/>
  <c r="CA270" i="23"/>
  <c r="DJ270" i="23"/>
  <c r="DI270" i="23"/>
  <c r="DA270" i="23"/>
  <c r="DD270" i="23"/>
  <c r="DB270" i="23"/>
  <c r="DK270" i="23"/>
  <c r="DC270" i="23"/>
  <c r="BZ271" i="23"/>
  <c r="CL270" i="23"/>
  <c r="CK270" i="23"/>
  <c r="DE269" i="23"/>
  <c r="DG269" i="23"/>
  <c r="DF269" i="23"/>
  <c r="DO269" i="23"/>
  <c r="DN269" i="23"/>
  <c r="BX271" i="23"/>
  <c r="CU271" i="23"/>
  <c r="CE271" i="23"/>
  <c r="CH271" i="23"/>
  <c r="CC271" i="23"/>
  <c r="CT271" i="23"/>
  <c r="I271" i="23" s="1"/>
  <c r="CW271" i="23"/>
  <c r="CD271" i="23"/>
  <c r="CI271" i="23"/>
  <c r="CS271" i="23"/>
  <c r="CY271" i="23"/>
  <c r="BY271" i="23"/>
  <c r="DM269" i="23"/>
  <c r="CJ272" i="23"/>
  <c r="BS273" i="23"/>
  <c r="BB274" i="23"/>
  <c r="BN273" i="23"/>
  <c r="BQ273" i="23"/>
  <c r="BM273" i="23"/>
  <c r="AV274" i="23"/>
  <c r="BE274" i="23"/>
  <c r="BO273" i="23"/>
  <c r="J390" i="22"/>
  <c r="CK271" i="23" l="1"/>
  <c r="CL271" i="23"/>
  <c r="H273" i="23"/>
  <c r="G273" i="23"/>
  <c r="CA271" i="23"/>
  <c r="BX272" i="23"/>
  <c r="CU272" i="23"/>
  <c r="CH272" i="23"/>
  <c r="CC272" i="23"/>
  <c r="CE272" i="23"/>
  <c r="CW272" i="23"/>
  <c r="CY272" i="23"/>
  <c r="CS272" i="23"/>
  <c r="BY272" i="23"/>
  <c r="CT272" i="23"/>
  <c r="I272" i="23" s="1"/>
  <c r="CI272" i="23"/>
  <c r="CD272" i="23"/>
  <c r="CM271" i="23"/>
  <c r="DI271" i="23"/>
  <c r="DJ271" i="23"/>
  <c r="DB271" i="23"/>
  <c r="DD271" i="23"/>
  <c r="DA271" i="23"/>
  <c r="DK271" i="23"/>
  <c r="DC271" i="23"/>
  <c r="CF271" i="23"/>
  <c r="DE270" i="23"/>
  <c r="DG270" i="23"/>
  <c r="DF270" i="23"/>
  <c r="DO270" i="23"/>
  <c r="DM270" i="23"/>
  <c r="DN270" i="23"/>
  <c r="CJ273" i="23"/>
  <c r="BS274" i="23"/>
  <c r="BB275" i="23"/>
  <c r="BN274" i="23"/>
  <c r="BQ274" i="23"/>
  <c r="BO274" i="23"/>
  <c r="BE275" i="23"/>
  <c r="AV275" i="23"/>
  <c r="BM274" i="23"/>
  <c r="J391" i="22"/>
  <c r="CK272" i="23" l="1"/>
  <c r="CA272" i="23"/>
  <c r="CF272" i="23"/>
  <c r="CM272" i="23"/>
  <c r="CL272" i="23"/>
  <c r="DJ272" i="23"/>
  <c r="DI272" i="23"/>
  <c r="DB272" i="23"/>
  <c r="DD272" i="23"/>
  <c r="DA272" i="23"/>
  <c r="DC272" i="23"/>
  <c r="DK272" i="23"/>
  <c r="G274" i="23"/>
  <c r="H274" i="23"/>
  <c r="BZ274" i="23" s="1"/>
  <c r="CU273" i="23"/>
  <c r="BX273" i="23"/>
  <c r="CC273" i="23"/>
  <c r="CH273" i="23"/>
  <c r="CE273" i="23"/>
  <c r="CW273" i="23"/>
  <c r="CI273" i="23"/>
  <c r="CT273" i="23"/>
  <c r="I273" i="23" s="1"/>
  <c r="CY273" i="23"/>
  <c r="CS273" i="23"/>
  <c r="CD273" i="23"/>
  <c r="BY273" i="23"/>
  <c r="BZ273" i="23"/>
  <c r="DE271" i="23"/>
  <c r="DG271" i="23"/>
  <c r="DF271" i="23"/>
  <c r="DO271" i="23"/>
  <c r="DN271" i="23"/>
  <c r="DM271" i="23"/>
  <c r="CJ274" i="23"/>
  <c r="BM275" i="23"/>
  <c r="CS275" i="23"/>
  <c r="AV276" i="23"/>
  <c r="BE276" i="23"/>
  <c r="BO275" i="23"/>
  <c r="CD275" i="23"/>
  <c r="CF275" i="23" s="1"/>
  <c r="CI275" i="23"/>
  <c r="DC275" i="23"/>
  <c r="DK275" i="23"/>
  <c r="BY275" i="23"/>
  <c r="CA275" i="23" s="1"/>
  <c r="BS275" i="23"/>
  <c r="CT275" i="23"/>
  <c r="BN275" i="23"/>
  <c r="BQ275" i="23"/>
  <c r="CW275" i="23"/>
  <c r="BB276" i="23"/>
  <c r="CY275" i="23"/>
  <c r="J392" i="22"/>
  <c r="CK273" i="23" l="1"/>
  <c r="CF273" i="23"/>
  <c r="CL273" i="23"/>
  <c r="DJ273" i="23"/>
  <c r="DI273" i="23"/>
  <c r="DD273" i="23"/>
  <c r="DB273" i="23"/>
  <c r="DA273" i="23"/>
  <c r="DC273" i="23"/>
  <c r="DK273" i="23"/>
  <c r="DE272" i="23"/>
  <c r="DO272" i="23"/>
  <c r="DF272" i="23"/>
  <c r="DG272" i="23"/>
  <c r="CM273" i="23"/>
  <c r="BX274" i="23"/>
  <c r="CU274" i="23"/>
  <c r="CH274" i="23"/>
  <c r="CE274" i="23"/>
  <c r="CC274" i="23"/>
  <c r="CS274" i="23"/>
  <c r="BY274" i="23"/>
  <c r="CI274" i="23"/>
  <c r="CT274" i="23"/>
  <c r="I274" i="23" s="1"/>
  <c r="CD274" i="23"/>
  <c r="CW274" i="23"/>
  <c r="CY274" i="23"/>
  <c r="DM272" i="23"/>
  <c r="CA273" i="23"/>
  <c r="DN272" i="23"/>
  <c r="CJ275" i="23"/>
  <c r="CL275" i="23" s="1"/>
  <c r="DG275" i="23"/>
  <c r="DE275" i="23"/>
  <c r="DF275" i="23"/>
  <c r="DO275" i="23"/>
  <c r="CY276" i="23"/>
  <c r="BQ276" i="23"/>
  <c r="BS276" i="23"/>
  <c r="BN276" i="23"/>
  <c r="CT276" i="23"/>
  <c r="CW276" i="23"/>
  <c r="BB277" i="23"/>
  <c r="DK276" i="23"/>
  <c r="BY276" i="23"/>
  <c r="CA276" i="23" s="1"/>
  <c r="CI276" i="23"/>
  <c r="BO276" i="23"/>
  <c r="CD276" i="23"/>
  <c r="CF276" i="23" s="1"/>
  <c r="BE277" i="23"/>
  <c r="DC276" i="23"/>
  <c r="CS276" i="23"/>
  <c r="AV277" i="23"/>
  <c r="BM276" i="23"/>
  <c r="DM275" i="23"/>
  <c r="DN275" i="23"/>
  <c r="J393" i="22"/>
  <c r="CM274" i="23" l="1"/>
  <c r="CF274" i="23"/>
  <c r="CA274" i="23"/>
  <c r="CK274" i="23"/>
  <c r="DJ274" i="23"/>
  <c r="DI274" i="23"/>
  <c r="DD274" i="23"/>
  <c r="DA274" i="23"/>
  <c r="DB274" i="23"/>
  <c r="DK274" i="23"/>
  <c r="DC274" i="23"/>
  <c r="DG273" i="23"/>
  <c r="DE273" i="23"/>
  <c r="DO273" i="23"/>
  <c r="DF273" i="23"/>
  <c r="DM273" i="23"/>
  <c r="CL274" i="23"/>
  <c r="DN273" i="23"/>
  <c r="CM275" i="23"/>
  <c r="CK275" i="23"/>
  <c r="CJ276" i="23"/>
  <c r="CM276" i="23" s="1"/>
  <c r="BM277" i="23"/>
  <c r="AV278" i="23"/>
  <c r="CS277" i="23"/>
  <c r="DM276" i="23"/>
  <c r="DN276" i="23"/>
  <c r="DF276" i="23"/>
  <c r="DO276" i="23"/>
  <c r="DG276" i="23"/>
  <c r="DE276" i="23"/>
  <c r="BS277" i="23"/>
  <c r="CW277" i="23"/>
  <c r="BN277" i="23"/>
  <c r="CY277" i="23"/>
  <c r="BB278" i="23"/>
  <c r="BQ277" i="23"/>
  <c r="CT277" i="23"/>
  <c r="BO277" i="23"/>
  <c r="CI277" i="23"/>
  <c r="DC277" i="23"/>
  <c r="BY277" i="23"/>
  <c r="CA277" i="23" s="1"/>
  <c r="BE278" i="23"/>
  <c r="CD277" i="23"/>
  <c r="CF277" i="23" s="1"/>
  <c r="DK277" i="23"/>
  <c r="J394" i="22"/>
  <c r="J395" i="22" s="1"/>
  <c r="J396" i="22" s="1"/>
  <c r="J397" i="22" s="1"/>
  <c r="J398" i="22" s="1"/>
  <c r="J399" i="22" s="1"/>
  <c r="J400" i="22" s="1"/>
  <c r="J401" i="22" s="1"/>
  <c r="J402" i="22" s="1"/>
  <c r="J403" i="22" s="1"/>
  <c r="J404" i="22" s="1"/>
  <c r="J405" i="22" s="1"/>
  <c r="J406" i="22" s="1"/>
  <c r="J407" i="22" s="1"/>
  <c r="J408" i="22" s="1"/>
  <c r="J409" i="22" s="1"/>
  <c r="J410" i="22" s="1"/>
  <c r="J411" i="22" s="1"/>
  <c r="J412" i="22" s="1"/>
  <c r="J413" i="22" s="1"/>
  <c r="J414" i="22" s="1"/>
  <c r="J415" i="22" s="1"/>
  <c r="J416" i="22" s="1"/>
  <c r="J417" i="22" s="1"/>
  <c r="J418" i="22" s="1"/>
  <c r="J419" i="22" s="1"/>
  <c r="J420" i="22" s="1"/>
  <c r="J421" i="22" s="1"/>
  <c r="J422" i="22" s="1"/>
  <c r="J423" i="22" s="1"/>
  <c r="J424" i="22" s="1"/>
  <c r="J425" i="22" s="1"/>
  <c r="J426" i="22" s="1"/>
  <c r="J427" i="22" s="1"/>
  <c r="J428" i="22" s="1"/>
  <c r="J429" i="22" s="1"/>
  <c r="J430" i="22" s="1"/>
  <c r="J431" i="22" s="1"/>
  <c r="J432" i="22" s="1"/>
  <c r="J433" i="22" s="1"/>
  <c r="J434" i="22" s="1"/>
  <c r="J435" i="22" s="1"/>
  <c r="J436" i="22" s="1"/>
  <c r="J437" i="22" s="1"/>
  <c r="J438" i="22" s="1"/>
  <c r="J439" i="22" s="1"/>
  <c r="J440" i="22" s="1"/>
  <c r="J441" i="22" s="1"/>
  <c r="J442" i="22" s="1"/>
  <c r="J443" i="22" s="1"/>
  <c r="J444" i="22" s="1"/>
  <c r="J445" i="22" s="1"/>
  <c r="J446" i="22" s="1"/>
  <c r="J447" i="22" s="1"/>
  <c r="J448" i="22" s="1"/>
  <c r="J449" i="22" s="1"/>
  <c r="J450" i="22" s="1"/>
  <c r="J451" i="22" s="1"/>
  <c r="J452" i="22" s="1"/>
  <c r="J453" i="22" s="1"/>
  <c r="J454" i="22" s="1"/>
  <c r="J455" i="22" s="1"/>
  <c r="J456" i="22" s="1"/>
  <c r="J457" i="22" s="1"/>
  <c r="DO274" i="23" l="1"/>
  <c r="DG274" i="23"/>
  <c r="DF274" i="23"/>
  <c r="DE274" i="23"/>
  <c r="DM274" i="23"/>
  <c r="DN274" i="23"/>
  <c r="CJ277" i="23"/>
  <c r="CK277" i="23" s="1"/>
  <c r="CK276" i="23"/>
  <c r="CL276" i="23"/>
  <c r="DN277" i="23"/>
  <c r="DM277" i="23"/>
  <c r="BN278" i="23"/>
  <c r="CW278" i="23"/>
  <c r="BS278" i="23"/>
  <c r="BQ278" i="23"/>
  <c r="CT278" i="23"/>
  <c r="CY278" i="23"/>
  <c r="BB279" i="23"/>
  <c r="DC278" i="23"/>
  <c r="BY278" i="23"/>
  <c r="CA278" i="23" s="1"/>
  <c r="DK278" i="23"/>
  <c r="BE279" i="23"/>
  <c r="BO278" i="23"/>
  <c r="CD278" i="23"/>
  <c r="CF278" i="23" s="1"/>
  <c r="CI278" i="23"/>
  <c r="DO277" i="23"/>
  <c r="DE277" i="23"/>
  <c r="DF277" i="23"/>
  <c r="DG277" i="23"/>
  <c r="BM278" i="23"/>
  <c r="AV279" i="23"/>
  <c r="CS278" i="23"/>
  <c r="A64" i="22"/>
  <c r="J64" i="22"/>
  <c r="I64" i="22"/>
  <c r="P64" i="22"/>
  <c r="H64" i="22"/>
  <c r="A65" i="22"/>
  <c r="I65" i="22"/>
  <c r="J65" i="22"/>
  <c r="P65" i="22"/>
  <c r="H65" i="22"/>
  <c r="H66" i="22"/>
  <c r="A66" i="22"/>
  <c r="J66" i="22"/>
  <c r="P66" i="22"/>
  <c r="I66" i="22"/>
  <c r="A111" i="22"/>
  <c r="I67" i="22"/>
  <c r="J67" i="22"/>
  <c r="H67" i="22"/>
  <c r="P67" i="22"/>
  <c r="A67" i="22"/>
  <c r="P75" i="22"/>
  <c r="A73" i="22"/>
  <c r="I85" i="22"/>
  <c r="J80" i="22"/>
  <c r="H128" i="22"/>
  <c r="P100" i="22"/>
  <c r="A71" i="22"/>
  <c r="P70" i="22"/>
  <c r="I92" i="22"/>
  <c r="I83" i="22"/>
  <c r="I101" i="22"/>
  <c r="A81" i="22"/>
  <c r="A141" i="22"/>
  <c r="H95" i="22"/>
  <c r="J118" i="22"/>
  <c r="A82" i="22"/>
  <c r="I76" i="22"/>
  <c r="P113" i="22"/>
  <c r="P81" i="22"/>
  <c r="A117" i="22"/>
  <c r="J79" i="22"/>
  <c r="P73" i="22"/>
  <c r="I90" i="22"/>
  <c r="I103" i="22"/>
  <c r="A119" i="22"/>
  <c r="A76" i="22"/>
  <c r="P108" i="22"/>
  <c r="P77" i="22"/>
  <c r="I82" i="22"/>
  <c r="J74" i="22"/>
  <c r="P130" i="22"/>
  <c r="I128" i="22"/>
  <c r="I134" i="22"/>
  <c r="H107" i="22"/>
  <c r="I122" i="22"/>
  <c r="P106" i="22"/>
  <c r="P107" i="22"/>
  <c r="P137" i="22"/>
  <c r="P83" i="22"/>
  <c r="H86" i="22"/>
  <c r="A124" i="22"/>
  <c r="A96" i="22"/>
  <c r="A123" i="22"/>
  <c r="J109" i="22"/>
  <c r="P134" i="22"/>
  <c r="H94" i="22"/>
  <c r="I80" i="22"/>
  <c r="I75" i="22"/>
  <c r="J89" i="22"/>
  <c r="H125" i="22"/>
  <c r="J95" i="22"/>
  <c r="P101" i="22"/>
  <c r="J92" i="22"/>
  <c r="A91" i="22"/>
  <c r="A86" i="22"/>
  <c r="I79" i="22"/>
  <c r="I105" i="22"/>
  <c r="P76" i="22"/>
  <c r="P114" i="22"/>
  <c r="P132" i="22"/>
  <c r="I88" i="22"/>
  <c r="H99" i="22"/>
  <c r="H74" i="22"/>
  <c r="A112" i="22"/>
  <c r="A122" i="22"/>
  <c r="P96" i="22"/>
  <c r="A132" i="22"/>
  <c r="P120" i="22"/>
  <c r="P133" i="22"/>
  <c r="H81" i="22"/>
  <c r="H112" i="22"/>
  <c r="A93" i="22"/>
  <c r="A121" i="22"/>
  <c r="P86" i="22"/>
  <c r="A138" i="22"/>
  <c r="A103" i="22"/>
  <c r="A90" i="22"/>
  <c r="A144" i="22"/>
  <c r="I89" i="22"/>
  <c r="I133" i="22"/>
  <c r="J97" i="22"/>
  <c r="I139" i="22"/>
  <c r="A88" i="22"/>
  <c r="A109" i="22"/>
  <c r="J125" i="22"/>
  <c r="P122" i="22"/>
  <c r="H98" i="22"/>
  <c r="J127" i="22"/>
  <c r="H75" i="22"/>
  <c r="A78" i="22"/>
  <c r="H136" i="22"/>
  <c r="J98" i="22"/>
  <c r="P141" i="22"/>
  <c r="P131" i="22"/>
  <c r="P136" i="22"/>
  <c r="J84" i="22"/>
  <c r="P79" i="22"/>
  <c r="H72" i="22"/>
  <c r="I78" i="22"/>
  <c r="P117" i="22"/>
  <c r="H104" i="22"/>
  <c r="H133" i="22"/>
  <c r="A89" i="22"/>
  <c r="I124" i="22"/>
  <c r="J138" i="22"/>
  <c r="A116" i="22"/>
  <c r="I131" i="22"/>
  <c r="I141" i="22"/>
  <c r="J81" i="22"/>
  <c r="A140" i="22"/>
  <c r="J144" i="22"/>
  <c r="H115" i="22"/>
  <c r="J117" i="22"/>
  <c r="P116" i="22"/>
  <c r="A131" i="22"/>
  <c r="I110" i="22"/>
  <c r="A128" i="22"/>
  <c r="J90" i="22"/>
  <c r="P110" i="22"/>
  <c r="J111" i="22"/>
  <c r="I117" i="22"/>
  <c r="P129" i="22"/>
  <c r="P138" i="22"/>
  <c r="J76" i="22"/>
  <c r="P78" i="22"/>
  <c r="I107" i="22"/>
  <c r="J101" i="22"/>
  <c r="P121" i="22"/>
  <c r="H106" i="22"/>
  <c r="J94" i="22"/>
  <c r="A105" i="22"/>
  <c r="A134" i="22"/>
  <c r="A85" i="22"/>
  <c r="J108" i="22"/>
  <c r="I109" i="22"/>
  <c r="J73" i="22"/>
  <c r="J72" i="22"/>
  <c r="P72" i="22"/>
  <c r="P118" i="22"/>
  <c r="I129" i="22"/>
  <c r="A97" i="22"/>
  <c r="I143" i="22"/>
  <c r="J137" i="22"/>
  <c r="A118" i="22"/>
  <c r="P140" i="22"/>
  <c r="H82" i="22"/>
  <c r="P85" i="22"/>
  <c r="H137" i="22"/>
  <c r="J96" i="22"/>
  <c r="H79" i="22"/>
  <c r="J110" i="22"/>
  <c r="H138" i="22"/>
  <c r="I112" i="22"/>
  <c r="H132" i="22"/>
  <c r="P111" i="22"/>
  <c r="P95" i="22"/>
  <c r="J133" i="22"/>
  <c r="I104" i="22"/>
  <c r="H103" i="22"/>
  <c r="A75" i="22"/>
  <c r="I73" i="22"/>
  <c r="P94" i="22"/>
  <c r="P99" i="22"/>
  <c r="I87" i="22"/>
  <c r="H123" i="22"/>
  <c r="H114" i="22"/>
  <c r="A120" i="22"/>
  <c r="I120" i="22"/>
  <c r="A110" i="22"/>
  <c r="H110" i="22"/>
  <c r="A106" i="22"/>
  <c r="J115" i="22"/>
  <c r="H100" i="22"/>
  <c r="J136" i="22"/>
  <c r="H131" i="22"/>
  <c r="H101" i="22"/>
  <c r="J86" i="22"/>
  <c r="J123" i="22"/>
  <c r="A79" i="22"/>
  <c r="I70" i="22"/>
  <c r="A114" i="22"/>
  <c r="H96" i="22"/>
  <c r="H119" i="22"/>
  <c r="J120" i="22"/>
  <c r="H134" i="22"/>
  <c r="J134" i="22"/>
  <c r="I135" i="22"/>
  <c r="J104" i="22"/>
  <c r="A136" i="22"/>
  <c r="A137" i="22"/>
  <c r="J141" i="22"/>
  <c r="P80" i="22"/>
  <c r="I77" i="22"/>
  <c r="I71" i="22"/>
  <c r="J103" i="22"/>
  <c r="H141" i="22"/>
  <c r="A99" i="22"/>
  <c r="P115" i="22"/>
  <c r="I91" i="22"/>
  <c r="I127" i="22"/>
  <c r="J77" i="22"/>
  <c r="J78" i="22"/>
  <c r="H135" i="22"/>
  <c r="J116" i="22"/>
  <c r="I99" i="22"/>
  <c r="A92" i="22"/>
  <c r="P143" i="22"/>
  <c r="J105" i="22"/>
  <c r="P124" i="22"/>
  <c r="H111" i="22"/>
  <c r="J122" i="22"/>
  <c r="J93" i="22"/>
  <c r="J88" i="22"/>
  <c r="A98" i="22"/>
  <c r="I72" i="22"/>
  <c r="A95" i="22"/>
  <c r="H122" i="22"/>
  <c r="P97" i="22"/>
  <c r="A143" i="22"/>
  <c r="H88" i="22"/>
  <c r="I123" i="22"/>
  <c r="I94" i="22"/>
  <c r="P135" i="22"/>
  <c r="J135" i="22"/>
  <c r="H120" i="22"/>
  <c r="I98" i="22"/>
  <c r="H84" i="22"/>
  <c r="P71" i="22"/>
  <c r="H139" i="22"/>
  <c r="A125" i="22"/>
  <c r="I114" i="22"/>
  <c r="P92" i="22"/>
  <c r="A142" i="22"/>
  <c r="J119" i="22"/>
  <c r="J139" i="22"/>
  <c r="I132" i="22"/>
  <c r="P89" i="22"/>
  <c r="J140" i="22"/>
  <c r="J114" i="22"/>
  <c r="P144" i="22"/>
  <c r="I111" i="22"/>
  <c r="J75" i="22"/>
  <c r="J124" i="22"/>
  <c r="H117" i="22"/>
  <c r="J99" i="22"/>
  <c r="J121" i="22"/>
  <c r="H89" i="22"/>
  <c r="J83" i="22"/>
  <c r="A104" i="22"/>
  <c r="H91" i="22"/>
  <c r="A80" i="22"/>
  <c r="J102" i="22"/>
  <c r="J107" i="22"/>
  <c r="P123" i="22"/>
  <c r="I102" i="22"/>
  <c r="A84" i="22"/>
  <c r="A133" i="22"/>
  <c r="P142" i="22"/>
  <c r="H87" i="22"/>
  <c r="I140" i="22"/>
  <c r="J126" i="22"/>
  <c r="A74" i="22"/>
  <c r="H71" i="22"/>
  <c r="I81" i="22"/>
  <c r="I106" i="22"/>
  <c r="H108" i="22"/>
  <c r="A113" i="22"/>
  <c r="P90" i="22"/>
  <c r="P105" i="22"/>
  <c r="P109" i="22"/>
  <c r="H109" i="22"/>
  <c r="I115" i="22"/>
  <c r="H121" i="22"/>
  <c r="H127" i="22"/>
  <c r="H83" i="22"/>
  <c r="H77" i="22"/>
  <c r="I121" i="22"/>
  <c r="H143" i="22"/>
  <c r="P125" i="22"/>
  <c r="I125" i="22"/>
  <c r="P87" i="22"/>
  <c r="P112" i="22"/>
  <c r="I116" i="22"/>
  <c r="J91" i="22"/>
  <c r="A126" i="22"/>
  <c r="P119" i="22"/>
  <c r="A135" i="22"/>
  <c r="P127" i="22"/>
  <c r="J128" i="22"/>
  <c r="H116" i="22"/>
  <c r="J142" i="22"/>
  <c r="P98" i="22"/>
  <c r="I118" i="22"/>
  <c r="A83" i="22"/>
  <c r="I130" i="22"/>
  <c r="A77" i="22"/>
  <c r="J71" i="22"/>
  <c r="J132" i="22"/>
  <c r="P128" i="22"/>
  <c r="I113" i="22"/>
  <c r="H118" i="22"/>
  <c r="P126" i="22"/>
  <c r="A108" i="22"/>
  <c r="I108" i="22"/>
  <c r="H85" i="22"/>
  <c r="I74" i="22"/>
  <c r="J82" i="22"/>
  <c r="H76" i="22"/>
  <c r="A94" i="22"/>
  <c r="I126" i="22"/>
  <c r="H129" i="22"/>
  <c r="A100" i="22"/>
  <c r="P88" i="22"/>
  <c r="P104" i="22"/>
  <c r="I84" i="22"/>
  <c r="I100" i="22"/>
  <c r="P84" i="22"/>
  <c r="A139" i="22"/>
  <c r="P82" i="22"/>
  <c r="H105" i="22"/>
  <c r="H80" i="22"/>
  <c r="A130" i="22"/>
  <c r="P103" i="22"/>
  <c r="H73" i="22"/>
  <c r="H68" i="22"/>
  <c r="P68" i="22"/>
  <c r="I68" i="22"/>
  <c r="A68" i="22"/>
  <c r="J68" i="22"/>
  <c r="A101" i="22"/>
  <c r="J131" i="22"/>
  <c r="I138" i="22"/>
  <c r="H90" i="22"/>
  <c r="J87" i="22"/>
  <c r="I95" i="22"/>
  <c r="P102" i="22"/>
  <c r="H78" i="22"/>
  <c r="I144" i="22"/>
  <c r="H140" i="22"/>
  <c r="H102" i="22"/>
  <c r="A87" i="22"/>
  <c r="I142" i="22"/>
  <c r="H130" i="22"/>
  <c r="A107" i="22"/>
  <c r="A102" i="22"/>
  <c r="H92" i="22"/>
  <c r="H113" i="22"/>
  <c r="J113" i="22"/>
  <c r="J129" i="22"/>
  <c r="I137" i="22"/>
  <c r="J130" i="22"/>
  <c r="J143" i="22"/>
  <c r="I119" i="22"/>
  <c r="P91" i="22"/>
  <c r="I97" i="22"/>
  <c r="H93" i="22"/>
  <c r="I136" i="22"/>
  <c r="J100" i="22"/>
  <c r="P93" i="22"/>
  <c r="I96" i="22"/>
  <c r="A72" i="22"/>
  <c r="H124" i="22"/>
  <c r="I93" i="22"/>
  <c r="J112" i="22"/>
  <c r="J106" i="22"/>
  <c r="P139" i="22"/>
  <c r="H144" i="22"/>
  <c r="I86" i="22"/>
  <c r="H142" i="22"/>
  <c r="H97" i="22"/>
  <c r="A129" i="22"/>
  <c r="A115" i="22"/>
  <c r="J85" i="22"/>
  <c r="A127" i="22"/>
  <c r="P74" i="22"/>
  <c r="H126" i="22"/>
  <c r="J70" i="22"/>
  <c r="A69" i="22"/>
  <c r="H70" i="22"/>
  <c r="A70" i="22"/>
  <c r="H69" i="22"/>
  <c r="P69" i="22"/>
  <c r="I69" i="22"/>
  <c r="J69" i="22"/>
  <c r="CM277" i="23" l="1"/>
  <c r="CL277" i="23"/>
  <c r="CJ278" i="23"/>
  <c r="AV280" i="23"/>
  <c r="CS279" i="23"/>
  <c r="BM279" i="23"/>
  <c r="BY279" i="23"/>
  <c r="CA279" i="23" s="1"/>
  <c r="CD279" i="23"/>
  <c r="CF279" i="23" s="1"/>
  <c r="DC279" i="23"/>
  <c r="CI279" i="23"/>
  <c r="DK279" i="23"/>
  <c r="BE280" i="23"/>
  <c r="BO279" i="23"/>
  <c r="DN278" i="23"/>
  <c r="DM278" i="23"/>
  <c r="DG278" i="23"/>
  <c r="DO278" i="23"/>
  <c r="DF278" i="23"/>
  <c r="DE278" i="23"/>
  <c r="CY279" i="23"/>
  <c r="BS279" i="23"/>
  <c r="CW279" i="23"/>
  <c r="BN279" i="23"/>
  <c r="CT279" i="23"/>
  <c r="BQ279" i="23"/>
  <c r="BB280" i="23"/>
  <c r="CK278" i="23" l="1"/>
  <c r="CL278" i="23"/>
  <c r="CJ279" i="23"/>
  <c r="CK279" i="23" s="1"/>
  <c r="CM278" i="23"/>
  <c r="BQ280" i="23"/>
  <c r="BB281" i="23"/>
  <c r="BN280" i="23"/>
  <c r="BS280" i="23"/>
  <c r="DF279" i="23"/>
  <c r="DO279" i="23"/>
  <c r="DG279" i="23"/>
  <c r="DE279" i="23"/>
  <c r="BE281" i="23"/>
  <c r="BO280" i="23"/>
  <c r="AV281" i="23"/>
  <c r="BM280" i="23"/>
  <c r="DM279" i="23"/>
  <c r="DN279" i="23"/>
  <c r="H280" i="23" l="1"/>
  <c r="G280" i="23"/>
  <c r="CM279" i="23"/>
  <c r="CL279" i="23"/>
  <c r="CJ280" i="23"/>
  <c r="BO281" i="23"/>
  <c r="BE282" i="23"/>
  <c r="AV282" i="23"/>
  <c r="BM281" i="23"/>
  <c r="BN281" i="23"/>
  <c r="BS281" i="23"/>
  <c r="BQ281" i="23"/>
  <c r="BB282" i="23"/>
  <c r="H281" i="23" l="1"/>
  <c r="BZ281" i="23" s="1"/>
  <c r="G281" i="23"/>
  <c r="BX280" i="23"/>
  <c r="CU280" i="23"/>
  <c r="CH280" i="23"/>
  <c r="CC280" i="23"/>
  <c r="CE280" i="23"/>
  <c r="CW280" i="23"/>
  <c r="BY280" i="23"/>
  <c r="CD280" i="23"/>
  <c r="CI280" i="23"/>
  <c r="CT280" i="23"/>
  <c r="I280" i="23" s="1"/>
  <c r="CY280" i="23"/>
  <c r="CS280" i="23"/>
  <c r="BZ280" i="23"/>
  <c r="BE283" i="23"/>
  <c r="BO282" i="23"/>
  <c r="BN282" i="23"/>
  <c r="BS282" i="23"/>
  <c r="BB283" i="23"/>
  <c r="BQ282" i="23"/>
  <c r="BM282" i="23"/>
  <c r="AV283" i="23"/>
  <c r="CM280" i="23" l="1"/>
  <c r="CL280" i="23"/>
  <c r="DI280" i="23"/>
  <c r="DJ280" i="23"/>
  <c r="DB280" i="23"/>
  <c r="DD280" i="23"/>
  <c r="DA280" i="23"/>
  <c r="DK280" i="23"/>
  <c r="DC280" i="23"/>
  <c r="G282" i="23"/>
  <c r="H282" i="23"/>
  <c r="CF280" i="23"/>
  <c r="CA280" i="23"/>
  <c r="BX281" i="23"/>
  <c r="CU281" i="23"/>
  <c r="CE281" i="23"/>
  <c r="CH281" i="23"/>
  <c r="CC281" i="23"/>
  <c r="CI281" i="23"/>
  <c r="CJ281" i="23" s="1"/>
  <c r="CY281" i="23"/>
  <c r="BY281" i="23"/>
  <c r="CT281" i="23"/>
  <c r="I281" i="23" s="1"/>
  <c r="CD281" i="23"/>
  <c r="CS281" i="23"/>
  <c r="CW281" i="23"/>
  <c r="CK280" i="23"/>
  <c r="CJ282" i="23"/>
  <c r="BS283" i="23"/>
  <c r="CY283" i="23"/>
  <c r="CT283" i="23"/>
  <c r="BQ283" i="23"/>
  <c r="BB284" i="23"/>
  <c r="BN283" i="23"/>
  <c r="CW283" i="23"/>
  <c r="AV284" i="23"/>
  <c r="CS283" i="23"/>
  <c r="BM283" i="23"/>
  <c r="BY283" i="23"/>
  <c r="CA283" i="23" s="1"/>
  <c r="BE284" i="23"/>
  <c r="CD283" i="23"/>
  <c r="CF283" i="23" s="1"/>
  <c r="BO283" i="23"/>
  <c r="DC283" i="23"/>
  <c r="DK283" i="23"/>
  <c r="CI283" i="23"/>
  <c r="CF281" i="23" l="1"/>
  <c r="CA281" i="23"/>
  <c r="CM281" i="23"/>
  <c r="DI281" i="23"/>
  <c r="DJ281" i="23"/>
  <c r="DA281" i="23"/>
  <c r="DB281" i="23"/>
  <c r="DD281" i="23"/>
  <c r="DC281" i="23"/>
  <c r="DK281" i="23"/>
  <c r="BZ282" i="23"/>
  <c r="H295" i="23"/>
  <c r="F304" i="23" s="1"/>
  <c r="DG280" i="23"/>
  <c r="DE280" i="23"/>
  <c r="DO280" i="23"/>
  <c r="DF280" i="23"/>
  <c r="CK281" i="23"/>
  <c r="CL281" i="23"/>
  <c r="CU282" i="23"/>
  <c r="BX282" i="23"/>
  <c r="CH282" i="23"/>
  <c r="CE282" i="23"/>
  <c r="CC282" i="23"/>
  <c r="G295" i="23"/>
  <c r="CY282" i="23"/>
  <c r="CW282" i="23"/>
  <c r="CS282" i="23"/>
  <c r="BY282" i="23"/>
  <c r="CD282" i="23"/>
  <c r="CT282" i="23"/>
  <c r="I282" i="23" s="1"/>
  <c r="CI282" i="23"/>
  <c r="DN280" i="23"/>
  <c r="DM280" i="23"/>
  <c r="CJ283" i="23"/>
  <c r="CL283" i="23" s="1"/>
  <c r="DM283" i="23"/>
  <c r="DN283" i="23"/>
  <c r="AV285" i="23"/>
  <c r="CS284" i="23"/>
  <c r="BM284" i="23"/>
  <c r="DO283" i="23"/>
  <c r="DE283" i="23"/>
  <c r="DG283" i="23"/>
  <c r="DF283" i="23"/>
  <c r="CD284" i="23"/>
  <c r="CF284" i="23" s="1"/>
  <c r="BO284" i="23"/>
  <c r="BY284" i="23"/>
  <c r="CA284" i="23" s="1"/>
  <c r="CI284" i="23"/>
  <c r="DC284" i="23"/>
  <c r="BE285" i="23"/>
  <c r="DK284" i="23"/>
  <c r="BN284" i="23"/>
  <c r="BS284" i="23"/>
  <c r="CW284" i="23"/>
  <c r="CT284" i="23"/>
  <c r="CY284" i="23"/>
  <c r="BB285" i="23"/>
  <c r="BQ284" i="23"/>
  <c r="CL282" i="23" l="1"/>
  <c r="CA282" i="23"/>
  <c r="CM282" i="23"/>
  <c r="CK282" i="23"/>
  <c r="DJ282" i="23"/>
  <c r="DI282" i="23"/>
  <c r="DD282" i="23"/>
  <c r="DA282" i="23"/>
  <c r="DA295" i="23" s="1"/>
  <c r="DB282" i="23"/>
  <c r="DK282" i="23"/>
  <c r="DC282" i="23"/>
  <c r="I295" i="23"/>
  <c r="CF282" i="23"/>
  <c r="DG281" i="23"/>
  <c r="DO281" i="23"/>
  <c r="DE281" i="23"/>
  <c r="DF281" i="23"/>
  <c r="CH295" i="23"/>
  <c r="CH298" i="23" s="1"/>
  <c r="DN281" i="23"/>
  <c r="I31" i="23"/>
  <c r="F303" i="23"/>
  <c r="T11" i="9"/>
  <c r="T10" i="9"/>
  <c r="DM281" i="23"/>
  <c r="CK283" i="23"/>
  <c r="CM283" i="23"/>
  <c r="CJ284" i="23"/>
  <c r="CM284" i="23" s="1"/>
  <c r="DM284" i="23"/>
  <c r="DN284" i="23"/>
  <c r="CS285" i="23"/>
  <c r="BM285" i="23"/>
  <c r="AV286" i="23"/>
  <c r="BO285" i="23"/>
  <c r="BY285" i="23"/>
  <c r="CA285" i="23" s="1"/>
  <c r="DK285" i="23"/>
  <c r="CD285" i="23"/>
  <c r="CF285" i="23" s="1"/>
  <c r="DC285" i="23"/>
  <c r="CI285" i="23"/>
  <c r="BE286" i="23"/>
  <c r="BS285" i="23"/>
  <c r="CW285" i="23"/>
  <c r="CT285" i="23"/>
  <c r="BN285" i="23"/>
  <c r="CY285" i="23"/>
  <c r="BB286" i="23"/>
  <c r="BQ285" i="23"/>
  <c r="DG284" i="23"/>
  <c r="DO284" i="23"/>
  <c r="DE284" i="23"/>
  <c r="DF284" i="23"/>
  <c r="T9" i="9" l="1"/>
  <c r="T12" i="9" s="1"/>
  <c r="U6" i="9" s="1"/>
  <c r="U11" i="9" s="1"/>
  <c r="DG282" i="23"/>
  <c r="DF282" i="23"/>
  <c r="DO282" i="23"/>
  <c r="DE282" i="23"/>
  <c r="DM282" i="23"/>
  <c r="DI295" i="23"/>
  <c r="I152" i="23" s="1"/>
  <c r="H36" i="23"/>
  <c r="G36" i="23" s="1"/>
  <c r="F307" i="23"/>
  <c r="DN282" i="23"/>
  <c r="CL284" i="23"/>
  <c r="CK284" i="23"/>
  <c r="CJ285" i="23"/>
  <c r="CK285" i="23" s="1"/>
  <c r="BO286" i="23"/>
  <c r="BE287" i="23"/>
  <c r="CI286" i="23"/>
  <c r="DC286" i="23"/>
  <c r="DK286" i="23"/>
  <c r="CD286" i="23"/>
  <c r="CF286" i="23" s="1"/>
  <c r="BY286" i="23"/>
  <c r="CA286" i="23" s="1"/>
  <c r="AV287" i="23"/>
  <c r="CS286" i="23"/>
  <c r="BM286" i="23"/>
  <c r="CY286" i="23"/>
  <c r="CW286" i="23"/>
  <c r="BN286" i="23"/>
  <c r="BQ286" i="23"/>
  <c r="BS286" i="23"/>
  <c r="BB287" i="23"/>
  <c r="CT286" i="23"/>
  <c r="DE285" i="23"/>
  <c r="DF285" i="23"/>
  <c r="DO285" i="23"/>
  <c r="DG285" i="23"/>
  <c r="DN285" i="23"/>
  <c r="DM285" i="23"/>
  <c r="U4" i="9" l="1"/>
  <c r="U5" i="9"/>
  <c r="U10" i="9" s="1"/>
  <c r="U9" i="9" s="1"/>
  <c r="U12" i="9" s="1"/>
  <c r="G307" i="23"/>
  <c r="F299" i="24"/>
  <c r="CL285" i="23"/>
  <c r="CJ286" i="23"/>
  <c r="CL286" i="23" s="1"/>
  <c r="CM285" i="23"/>
  <c r="CY287" i="23"/>
  <c r="BB288" i="23"/>
  <c r="CT287" i="23"/>
  <c r="BN287" i="23"/>
  <c r="CW287" i="23"/>
  <c r="BS287" i="23"/>
  <c r="BQ287" i="23"/>
  <c r="AV288" i="23"/>
  <c r="CS287" i="23"/>
  <c r="BM287" i="23"/>
  <c r="DN286" i="23"/>
  <c r="DM286" i="23"/>
  <c r="DF286" i="23"/>
  <c r="DG286" i="23"/>
  <c r="DO286" i="23"/>
  <c r="DE286" i="23"/>
  <c r="BY287" i="23"/>
  <c r="CA287" i="23" s="1"/>
  <c r="CD287" i="23"/>
  <c r="CF287" i="23" s="1"/>
  <c r="DC287" i="23"/>
  <c r="BE288" i="23"/>
  <c r="DK287" i="23"/>
  <c r="BO287" i="23"/>
  <c r="CI287" i="23"/>
  <c r="DB260" i="24" l="1"/>
  <c r="V6" i="9"/>
  <c r="V11" i="9" s="1"/>
  <c r="V4" i="9"/>
  <c r="V5" i="9"/>
  <c r="V10" i="9" s="1"/>
  <c r="CF260" i="24"/>
  <c r="CC274" i="24" s="1"/>
  <c r="F307" i="24"/>
  <c r="H36" i="24"/>
  <c r="G36" i="24" s="1"/>
  <c r="CM286" i="23"/>
  <c r="CK286" i="23"/>
  <c r="CJ287" i="23"/>
  <c r="CL287" i="23" s="1"/>
  <c r="CS288" i="23"/>
  <c r="BM288" i="23"/>
  <c r="AV289" i="23"/>
  <c r="DM287" i="23"/>
  <c r="DN287" i="23"/>
  <c r="BY288" i="23"/>
  <c r="CA288" i="23" s="1"/>
  <c r="BO288" i="23"/>
  <c r="CD288" i="23"/>
  <c r="CF288" i="23" s="1"/>
  <c r="CI288" i="23"/>
  <c r="DC288" i="23"/>
  <c r="DK288" i="23"/>
  <c r="BE289" i="23"/>
  <c r="DO287" i="23"/>
  <c r="DF287" i="23"/>
  <c r="DE287" i="23"/>
  <c r="DG287" i="23"/>
  <c r="BN288" i="23"/>
  <c r="BS288" i="23"/>
  <c r="BQ288" i="23"/>
  <c r="CW288" i="23"/>
  <c r="CT288" i="23"/>
  <c r="CY288" i="23"/>
  <c r="BB289" i="23"/>
  <c r="CF260" i="25" l="1"/>
  <c r="CC264" i="24"/>
  <c r="CC287" i="24"/>
  <c r="CC273" i="24"/>
  <c r="CE287" i="24"/>
  <c r="CH272" i="24"/>
  <c r="CH282" i="24"/>
  <c r="CH292" i="24"/>
  <c r="CC277" i="24"/>
  <c r="CH269" i="24"/>
  <c r="CE270" i="24"/>
  <c r="CC271" i="24"/>
  <c r="CC289" i="24"/>
  <c r="CC268" i="24"/>
  <c r="CH288" i="24"/>
  <c r="CC269" i="24"/>
  <c r="CH278" i="24"/>
  <c r="CC280" i="24"/>
  <c r="CE272" i="24"/>
  <c r="CE290" i="24"/>
  <c r="CE276" i="24"/>
  <c r="CH270" i="24"/>
  <c r="CE292" i="24"/>
  <c r="CH286" i="24"/>
  <c r="CE269" i="24"/>
  <c r="CE294" i="24"/>
  <c r="CC288" i="24"/>
  <c r="CC281" i="24"/>
  <c r="CH267" i="24"/>
  <c r="CH275" i="24"/>
  <c r="CC279" i="24"/>
  <c r="CE266" i="24"/>
  <c r="CE268" i="24"/>
  <c r="CC282" i="24"/>
  <c r="CE288" i="24"/>
  <c r="CH276" i="24"/>
  <c r="CE293" i="24"/>
  <c r="CE280" i="24"/>
  <c r="CH290" i="24"/>
  <c r="CE291" i="24"/>
  <c r="CC270" i="24"/>
  <c r="CH264" i="24"/>
  <c r="CH265" i="24"/>
  <c r="CC275" i="24"/>
  <c r="CC267" i="24"/>
  <c r="CE283" i="24"/>
  <c r="CE279" i="24"/>
  <c r="CE265" i="24"/>
  <c r="CE275" i="24"/>
  <c r="CC266" i="24"/>
  <c r="CH266" i="24"/>
  <c r="CH283" i="24"/>
  <c r="CH268" i="24"/>
  <c r="CC272" i="24"/>
  <c r="CH277" i="24"/>
  <c r="CE277" i="24"/>
  <c r="CH287" i="24"/>
  <c r="CH279" i="24"/>
  <c r="CC286" i="24"/>
  <c r="CC291" i="24"/>
  <c r="CE267" i="24"/>
  <c r="CC283" i="24"/>
  <c r="CE281" i="24"/>
  <c r="CC285" i="24"/>
  <c r="CC265" i="24"/>
  <c r="DB259" i="24"/>
  <c r="DJ261" i="24" s="1"/>
  <c r="CH280" i="24"/>
  <c r="CC293" i="24"/>
  <c r="CH273" i="24"/>
  <c r="CC284" i="24"/>
  <c r="CH271" i="24"/>
  <c r="CE286" i="24"/>
  <c r="CC290" i="24"/>
  <c r="CE278" i="24"/>
  <c r="CE273" i="24"/>
  <c r="CE282" i="24"/>
  <c r="CH291" i="24"/>
  <c r="CH289" i="24"/>
  <c r="CH281" i="24"/>
  <c r="CH294" i="24"/>
  <c r="CE284" i="24"/>
  <c r="CH284" i="24"/>
  <c r="CE271" i="24"/>
  <c r="CE289" i="24"/>
  <c r="CC278" i="24"/>
  <c r="CH293" i="24"/>
  <c r="CC294" i="24"/>
  <c r="CH285" i="24"/>
  <c r="CH274" i="24"/>
  <c r="CE264" i="24"/>
  <c r="CC276" i="24"/>
  <c r="CE285" i="24"/>
  <c r="CE274" i="24"/>
  <c r="CC292" i="24"/>
  <c r="DB260" i="25"/>
  <c r="V9" i="9"/>
  <c r="V12" i="9" s="1"/>
  <c r="G307" i="24"/>
  <c r="F299" i="25"/>
  <c r="CE294" i="25"/>
  <c r="CC275" i="25"/>
  <c r="CH277" i="25"/>
  <c r="CE290" i="25"/>
  <c r="CH283" i="25"/>
  <c r="CC280" i="25"/>
  <c r="CE291" i="25"/>
  <c r="CE285" i="25"/>
  <c r="CH276" i="25"/>
  <c r="CC283" i="25"/>
  <c r="CE279" i="25"/>
  <c r="CC271" i="25"/>
  <c r="CH271" i="25"/>
  <c r="CE282" i="25"/>
  <c r="CC282" i="25"/>
  <c r="CE284" i="25"/>
  <c r="CH289" i="25"/>
  <c r="CC289" i="25"/>
  <c r="CE273" i="25"/>
  <c r="CC267" i="25"/>
  <c r="CC285" i="25"/>
  <c r="CC294" i="25"/>
  <c r="CH272" i="25"/>
  <c r="CC284" i="25"/>
  <c r="CE275" i="25"/>
  <c r="CH284" i="25"/>
  <c r="CE278" i="25"/>
  <c r="CH291" i="25"/>
  <c r="CC272" i="25"/>
  <c r="CE265" i="25"/>
  <c r="CC279" i="25"/>
  <c r="CH278" i="25"/>
  <c r="CH267" i="25"/>
  <c r="CC288" i="25"/>
  <c r="CE268" i="25"/>
  <c r="CH282" i="25"/>
  <c r="CE289" i="25"/>
  <c r="CE288" i="25"/>
  <c r="CH279" i="25"/>
  <c r="CE272" i="25"/>
  <c r="CH286" i="25"/>
  <c r="CE293" i="25"/>
  <c r="CE276" i="25"/>
  <c r="CC264" i="25"/>
  <c r="CE269" i="25"/>
  <c r="CE274" i="25"/>
  <c r="CE280" i="25"/>
  <c r="CE271" i="25"/>
  <c r="CE283" i="25"/>
  <c r="CE266" i="25"/>
  <c r="CH269" i="25"/>
  <c r="CC286" i="25"/>
  <c r="CH281" i="25"/>
  <c r="CH265" i="25"/>
  <c r="CC265" i="25"/>
  <c r="CC292" i="25"/>
  <c r="CE267" i="25"/>
  <c r="CH274" i="25"/>
  <c r="CH294" i="25"/>
  <c r="CE292" i="25"/>
  <c r="CE270" i="25"/>
  <c r="CC266" i="25"/>
  <c r="CH280" i="25"/>
  <c r="CH285" i="25"/>
  <c r="CC277" i="25"/>
  <c r="CE277" i="25"/>
  <c r="CE281" i="25"/>
  <c r="CC276" i="25"/>
  <c r="CC287" i="25"/>
  <c r="CC281" i="25"/>
  <c r="CC274" i="25"/>
  <c r="CE286" i="25"/>
  <c r="CH275" i="25"/>
  <c r="CH290" i="25"/>
  <c r="CH268" i="25"/>
  <c r="CC273" i="25"/>
  <c r="CH287" i="25"/>
  <c r="CH292" i="25"/>
  <c r="CH270" i="25"/>
  <c r="DB259" i="25"/>
  <c r="CH288" i="25"/>
  <c r="CH293" i="25"/>
  <c r="CH273" i="25"/>
  <c r="CE264" i="25"/>
  <c r="CC278" i="25"/>
  <c r="CC293" i="25"/>
  <c r="CC269" i="25"/>
  <c r="CH264" i="25"/>
  <c r="CC268" i="25"/>
  <c r="CC291" i="25"/>
  <c r="CC290" i="25"/>
  <c r="CE287" i="25"/>
  <c r="CH266" i="25"/>
  <c r="CC270" i="25"/>
  <c r="CM287" i="23"/>
  <c r="CJ288" i="23"/>
  <c r="CK287" i="23"/>
  <c r="DC289" i="23"/>
  <c r="BE290" i="23"/>
  <c r="CD289" i="23"/>
  <c r="CF289" i="23" s="1"/>
  <c r="BY289" i="23"/>
  <c r="CA289" i="23" s="1"/>
  <c r="BO289" i="23"/>
  <c r="DK289" i="23"/>
  <c r="CI289" i="23"/>
  <c r="DN288" i="23"/>
  <c r="DM288" i="23"/>
  <c r="DF288" i="23"/>
  <c r="DG288" i="23"/>
  <c r="DE288" i="23"/>
  <c r="DO288" i="23"/>
  <c r="AV290" i="23"/>
  <c r="CS289" i="23"/>
  <c r="BM289" i="23"/>
  <c r="BN289" i="23"/>
  <c r="BS289" i="23"/>
  <c r="BB290" i="23"/>
  <c r="CT289" i="23"/>
  <c r="BQ289" i="23"/>
  <c r="CY289" i="23"/>
  <c r="CW289" i="23"/>
  <c r="DD271" i="24" l="1"/>
  <c r="DB264" i="24"/>
  <c r="DB290" i="24"/>
  <c r="DA273" i="24"/>
  <c r="DA281" i="24"/>
  <c r="DD265" i="24"/>
  <c r="DB291" i="24"/>
  <c r="DD274" i="24"/>
  <c r="DA288" i="24"/>
  <c r="DB280" i="24"/>
  <c r="DB288" i="24"/>
  <c r="DA276" i="24"/>
  <c r="DA289" i="24"/>
  <c r="DD284" i="24"/>
  <c r="DA269" i="24"/>
  <c r="DA284" i="24"/>
  <c r="DD270" i="24"/>
  <c r="DA283" i="24"/>
  <c r="DD267" i="24"/>
  <c r="DB281" i="24"/>
  <c r="DD277" i="24"/>
  <c r="DD283" i="24"/>
  <c r="DB274" i="24"/>
  <c r="DD292" i="24"/>
  <c r="DD278" i="24"/>
  <c r="DB273" i="24"/>
  <c r="DD285" i="24"/>
  <c r="DB279" i="24"/>
  <c r="DB283" i="24"/>
  <c r="DB289" i="24"/>
  <c r="DD294" i="24"/>
  <c r="DB285" i="24"/>
  <c r="DD266" i="24"/>
  <c r="DB278" i="24"/>
  <c r="DB284" i="24"/>
  <c r="DD268" i="24"/>
  <c r="DB275" i="24"/>
  <c r="DD287" i="24"/>
  <c r="DA286" i="24"/>
  <c r="DB267" i="24"/>
  <c r="DA279" i="24"/>
  <c r="DD281" i="24"/>
  <c r="DA267" i="24"/>
  <c r="DB282" i="24"/>
  <c r="DD288" i="24"/>
  <c r="DB265" i="24"/>
  <c r="DA294" i="24"/>
  <c r="DD291" i="24"/>
  <c r="DA282" i="24"/>
  <c r="DB286" i="24"/>
  <c r="DD272" i="24"/>
  <c r="DB293" i="24"/>
  <c r="DD279" i="24"/>
  <c r="DD269" i="24"/>
  <c r="DB270" i="24"/>
  <c r="DA277" i="24"/>
  <c r="DA293" i="24"/>
  <c r="DD276" i="24"/>
  <c r="DD289" i="24"/>
  <c r="DA264" i="24"/>
  <c r="DA265" i="24"/>
  <c r="DA271" i="24"/>
  <c r="DA290" i="24"/>
  <c r="DA280" i="24"/>
  <c r="DB292" i="24"/>
  <c r="DB272" i="24"/>
  <c r="DA285" i="24"/>
  <c r="DB287" i="24"/>
  <c r="DD280" i="24"/>
  <c r="DB276" i="24"/>
  <c r="DA268" i="24"/>
  <c r="DD273" i="24"/>
  <c r="DA272" i="24"/>
  <c r="DD293" i="24"/>
  <c r="DB294" i="24"/>
  <c r="DA278" i="24"/>
  <c r="DB268" i="24"/>
  <c r="DA291" i="24"/>
  <c r="DA274" i="24"/>
  <c r="DA287" i="24"/>
  <c r="DB269" i="24"/>
  <c r="DD282" i="24"/>
  <c r="DA292" i="24"/>
  <c r="DB271" i="24"/>
  <c r="DA266" i="24"/>
  <c r="DA270" i="24"/>
  <c r="DD275" i="24"/>
  <c r="DB277" i="24"/>
  <c r="DD286" i="24"/>
  <c r="DD290" i="24"/>
  <c r="DA275" i="24"/>
  <c r="DD264" i="24"/>
  <c r="DB261" i="24"/>
  <c r="DB266" i="24"/>
  <c r="CH295" i="24"/>
  <c r="CH298" i="24" s="1"/>
  <c r="W6" i="9"/>
  <c r="W11" i="9" s="1"/>
  <c r="W4" i="9"/>
  <c r="W5" i="9"/>
  <c r="W10" i="9" s="1"/>
  <c r="CH295" i="25"/>
  <c r="CH298" i="25" s="1"/>
  <c r="DJ261" i="25"/>
  <c r="DA293" i="25"/>
  <c r="DB276" i="25"/>
  <c r="DB264" i="25"/>
  <c r="DD265" i="25"/>
  <c r="DD290" i="25"/>
  <c r="DD269" i="25"/>
  <c r="DD285" i="25"/>
  <c r="DD283" i="25"/>
  <c r="DB293" i="25"/>
  <c r="DB273" i="25"/>
  <c r="DA284" i="25"/>
  <c r="DD267" i="25"/>
  <c r="DB291" i="25"/>
  <c r="DB287" i="25"/>
  <c r="DA277" i="25"/>
  <c r="DD276" i="25"/>
  <c r="DA282" i="25"/>
  <c r="DA267" i="25"/>
  <c r="DB274" i="25"/>
  <c r="DB270" i="25"/>
  <c r="DA287" i="25"/>
  <c r="DA273" i="25"/>
  <c r="DD270" i="25"/>
  <c r="DA270" i="25"/>
  <c r="DD293" i="25"/>
  <c r="DA275" i="25"/>
  <c r="DA292" i="25"/>
  <c r="DB272" i="25"/>
  <c r="DA266" i="25"/>
  <c r="DB294" i="25"/>
  <c r="DA291" i="25"/>
  <c r="DA288" i="25"/>
  <c r="DA265" i="25"/>
  <c r="DA278" i="25"/>
  <c r="DD294" i="25"/>
  <c r="DD288" i="25"/>
  <c r="DA283" i="25"/>
  <c r="DB268" i="25"/>
  <c r="DB290" i="25"/>
  <c r="DD280" i="25"/>
  <c r="DB278" i="25"/>
  <c r="DA276" i="25"/>
  <c r="DD266" i="25"/>
  <c r="DD274" i="25"/>
  <c r="DD272" i="25"/>
  <c r="DA280" i="25"/>
  <c r="DB286" i="25"/>
  <c r="DD286" i="25"/>
  <c r="DA279" i="25"/>
  <c r="DA281" i="25"/>
  <c r="DB283" i="25"/>
  <c r="DA289" i="25"/>
  <c r="DD292" i="25"/>
  <c r="DD277" i="25"/>
  <c r="DA269" i="25"/>
  <c r="DD291" i="25"/>
  <c r="DD278" i="25"/>
  <c r="DB266" i="25"/>
  <c r="DB267" i="25"/>
  <c r="DA285" i="25"/>
  <c r="DD289" i="25"/>
  <c r="DB279" i="25"/>
  <c r="DD281" i="25"/>
  <c r="DA294" i="25"/>
  <c r="DB281" i="25"/>
  <c r="DD264" i="25"/>
  <c r="DA274" i="25"/>
  <c r="DB289" i="25"/>
  <c r="DD284" i="25"/>
  <c r="DD268" i="25"/>
  <c r="DB284" i="25"/>
  <c r="DB282" i="25"/>
  <c r="DA272" i="25"/>
  <c r="DD271" i="25"/>
  <c r="DB271" i="25"/>
  <c r="DA268" i="25"/>
  <c r="DA264" i="25"/>
  <c r="DD279" i="25"/>
  <c r="DB292" i="25"/>
  <c r="DB269" i="25"/>
  <c r="DB275" i="25"/>
  <c r="DA286" i="25"/>
  <c r="DB280" i="25"/>
  <c r="DB285" i="25"/>
  <c r="DD282" i="25"/>
  <c r="DD275" i="25"/>
  <c r="DD287" i="25"/>
  <c r="DD273" i="25"/>
  <c r="DA290" i="25"/>
  <c r="DB277" i="25"/>
  <c r="DB265" i="25"/>
  <c r="DB288" i="25"/>
  <c r="DA271" i="25"/>
  <c r="DB261" i="25"/>
  <c r="F307" i="25"/>
  <c r="H36" i="25"/>
  <c r="G36" i="25" s="1"/>
  <c r="CJ289" i="23"/>
  <c r="CL289" i="23" s="1"/>
  <c r="CL288" i="23"/>
  <c r="CK288" i="23"/>
  <c r="CM288" i="23"/>
  <c r="CS290" i="23"/>
  <c r="BM290" i="23"/>
  <c r="AV291" i="23"/>
  <c r="DN289" i="23"/>
  <c r="DM289" i="23"/>
  <c r="BY290" i="23"/>
  <c r="CA290" i="23" s="1"/>
  <c r="BE291" i="23"/>
  <c r="CI290" i="23"/>
  <c r="CJ290" i="23" s="1"/>
  <c r="CK290" i="23" s="1"/>
  <c r="BO290" i="23"/>
  <c r="CD290" i="23"/>
  <c r="CF290" i="23" s="1"/>
  <c r="DK290" i="23"/>
  <c r="DC290" i="23"/>
  <c r="BQ290" i="23"/>
  <c r="CT290" i="23"/>
  <c r="CW290" i="23"/>
  <c r="BS290" i="23"/>
  <c r="BB291" i="23"/>
  <c r="BN290" i="23"/>
  <c r="CY290" i="23"/>
  <c r="DG289" i="23"/>
  <c r="DE289" i="23"/>
  <c r="DO289" i="23"/>
  <c r="DF289" i="23"/>
  <c r="DA295" i="24" l="1"/>
  <c r="W9" i="9"/>
  <c r="W12" i="9" s="1"/>
  <c r="DB260" i="26"/>
  <c r="CF260" i="26"/>
  <c r="F299" i="26"/>
  <c r="G307" i="25"/>
  <c r="DA295" i="25"/>
  <c r="CM289" i="23"/>
  <c r="CK289" i="23"/>
  <c r="CL290" i="23"/>
  <c r="CM290" i="23"/>
  <c r="DE290" i="23"/>
  <c r="DO290" i="23"/>
  <c r="DF290" i="23"/>
  <c r="DG290" i="23"/>
  <c r="DN290" i="23"/>
  <c r="DM290" i="23"/>
  <c r="BS291" i="23"/>
  <c r="CW291" i="23"/>
  <c r="BN291" i="23"/>
  <c r="BQ291" i="23"/>
  <c r="BB292" i="23"/>
  <c r="CT291" i="23"/>
  <c r="CY291" i="23"/>
  <c r="CS291" i="23"/>
  <c r="BM291" i="23"/>
  <c r="AV292" i="23"/>
  <c r="BO291" i="23"/>
  <c r="CD291" i="23"/>
  <c r="CF291" i="23" s="1"/>
  <c r="CI291" i="23"/>
  <c r="BE292" i="23"/>
  <c r="DK291" i="23"/>
  <c r="BY291" i="23"/>
  <c r="CA291" i="23" s="1"/>
  <c r="DC291" i="23"/>
  <c r="X6" i="9" l="1"/>
  <c r="X11" i="9" s="1"/>
  <c r="X5" i="9"/>
  <c r="X10" i="9" s="1"/>
  <c r="X4" i="9"/>
  <c r="CC267" i="26"/>
  <c r="CC286" i="26"/>
  <c r="CE270" i="26"/>
  <c r="CE268" i="26"/>
  <c r="CE288" i="26"/>
  <c r="CC265" i="26"/>
  <c r="CE271" i="26"/>
  <c r="CE269" i="26"/>
  <c r="CE274" i="26"/>
  <c r="CH280" i="26"/>
  <c r="CE282" i="26"/>
  <c r="CH278" i="26"/>
  <c r="CE267" i="26"/>
  <c r="CE265" i="26"/>
  <c r="CE286" i="26"/>
  <c r="CC278" i="26"/>
  <c r="CC285" i="26"/>
  <c r="CE273" i="26"/>
  <c r="CH277" i="26"/>
  <c r="CE290" i="26"/>
  <c r="CH289" i="26"/>
  <c r="CH286" i="26"/>
  <c r="CC289" i="26"/>
  <c r="CE266" i="26"/>
  <c r="CE292" i="26"/>
  <c r="CC273" i="26"/>
  <c r="CH271" i="26"/>
  <c r="CH293" i="26"/>
  <c r="CC287" i="26"/>
  <c r="CH270" i="26"/>
  <c r="CH269" i="26"/>
  <c r="CE264" i="26"/>
  <c r="CE289" i="26"/>
  <c r="CC288" i="26"/>
  <c r="CH276" i="26"/>
  <c r="CC276" i="26"/>
  <c r="CH274" i="26"/>
  <c r="CE285" i="26"/>
  <c r="CC277" i="26"/>
  <c r="CC279" i="26"/>
  <c r="CH265" i="26"/>
  <c r="CH281" i="26"/>
  <c r="CC294" i="26"/>
  <c r="CC293" i="26"/>
  <c r="CH285" i="26"/>
  <c r="CC266" i="26"/>
  <c r="CC264" i="26"/>
  <c r="CC269" i="26"/>
  <c r="CH268" i="26"/>
  <c r="CH292" i="26"/>
  <c r="CH279" i="26"/>
  <c r="CC274" i="26"/>
  <c r="CE275" i="26"/>
  <c r="CC284" i="26"/>
  <c r="CE277" i="26"/>
  <c r="CH284" i="26"/>
  <c r="CE281" i="26"/>
  <c r="CC282" i="26"/>
  <c r="CE278" i="26"/>
  <c r="CC291" i="26"/>
  <c r="CE280" i="26"/>
  <c r="CE279" i="26"/>
  <c r="CH288" i="26"/>
  <c r="CC290" i="26"/>
  <c r="CE284" i="26"/>
  <c r="CC283" i="26"/>
  <c r="CE291" i="26"/>
  <c r="CH282" i="26"/>
  <c r="CH291" i="26"/>
  <c r="DB259" i="26"/>
  <c r="CH267" i="26"/>
  <c r="CE276" i="26"/>
  <c r="CE287" i="26"/>
  <c r="CH283" i="26"/>
  <c r="CC272" i="26"/>
  <c r="CC275" i="26"/>
  <c r="CC280" i="26"/>
  <c r="CC292" i="26"/>
  <c r="CH273" i="26"/>
  <c r="CE272" i="26"/>
  <c r="CE294" i="26"/>
  <c r="CE293" i="26"/>
  <c r="CH272" i="26"/>
  <c r="CC270" i="26"/>
  <c r="CH294" i="26"/>
  <c r="CH287" i="26"/>
  <c r="CH275" i="26"/>
  <c r="CH264" i="26"/>
  <c r="CH266" i="26"/>
  <c r="CC271" i="26"/>
  <c r="CC281" i="26"/>
  <c r="CH290" i="26"/>
  <c r="CC268" i="26"/>
  <c r="CE283" i="26"/>
  <c r="H36" i="26"/>
  <c r="G36" i="26" s="1"/>
  <c r="F307" i="26"/>
  <c r="CJ291" i="23"/>
  <c r="CK291" i="23" s="1"/>
  <c r="DF291" i="23"/>
  <c r="DO291" i="23"/>
  <c r="DE291" i="23"/>
  <c r="DG291" i="23"/>
  <c r="CT292" i="23"/>
  <c r="CY292" i="23"/>
  <c r="BS292" i="23"/>
  <c r="BN292" i="23"/>
  <c r="CW292" i="23"/>
  <c r="BQ292" i="23"/>
  <c r="BB293" i="23"/>
  <c r="DM291" i="23"/>
  <c r="DN291" i="23"/>
  <c r="BY292" i="23"/>
  <c r="CA292" i="23" s="1"/>
  <c r="BO292" i="23"/>
  <c r="DK292" i="23"/>
  <c r="DC292" i="23"/>
  <c r="CI292" i="23"/>
  <c r="CD292" i="23"/>
  <c r="CF292" i="23" s="1"/>
  <c r="BE293" i="23"/>
  <c r="CS292" i="23"/>
  <c r="BM292" i="23"/>
  <c r="AV293" i="23"/>
  <c r="CH295" i="26" l="1"/>
  <c r="CH298" i="26" s="1"/>
  <c r="CF260" i="27"/>
  <c r="DB260" i="27"/>
  <c r="DJ261" i="26"/>
  <c r="DD285" i="26"/>
  <c r="DB275" i="26"/>
  <c r="DD274" i="26"/>
  <c r="DD292" i="26"/>
  <c r="DD279" i="26"/>
  <c r="DD273" i="26"/>
  <c r="DD267" i="26"/>
  <c r="DD278" i="26"/>
  <c r="DD293" i="26"/>
  <c r="DA270" i="26"/>
  <c r="DD266" i="26"/>
  <c r="DA280" i="26"/>
  <c r="DD289" i="26"/>
  <c r="DD290" i="26"/>
  <c r="DB286" i="26"/>
  <c r="DB268" i="26"/>
  <c r="DA281" i="26"/>
  <c r="DB274" i="26"/>
  <c r="DA286" i="26"/>
  <c r="DB282" i="26"/>
  <c r="DB272" i="26"/>
  <c r="DA273" i="26"/>
  <c r="DA287" i="26"/>
  <c r="DD280" i="26"/>
  <c r="DB292" i="26"/>
  <c r="DA293" i="26"/>
  <c r="DB276" i="26"/>
  <c r="DB279" i="26"/>
  <c r="DB294" i="26"/>
  <c r="DA272" i="26"/>
  <c r="DB290" i="26"/>
  <c r="DA266" i="26"/>
  <c r="DB285" i="26"/>
  <c r="DB267" i="26"/>
  <c r="DA292" i="26"/>
  <c r="DD287" i="26"/>
  <c r="DB288" i="26"/>
  <c r="DA277" i="26"/>
  <c r="DB266" i="26"/>
  <c r="DB265" i="26"/>
  <c r="DA285" i="26"/>
  <c r="DD268" i="26"/>
  <c r="DB284" i="26"/>
  <c r="DD270" i="26"/>
  <c r="DA265" i="26"/>
  <c r="DA276" i="26"/>
  <c r="DB270" i="26"/>
  <c r="DD271" i="26"/>
  <c r="DD294" i="26"/>
  <c r="DB291" i="26"/>
  <c r="DB289" i="26"/>
  <c r="DB264" i="26"/>
  <c r="DB277" i="26"/>
  <c r="DD265" i="26"/>
  <c r="DA291" i="26"/>
  <c r="DA264" i="26"/>
  <c r="DB293" i="26"/>
  <c r="DD264" i="26"/>
  <c r="DB261" i="26"/>
  <c r="DD286" i="26"/>
  <c r="DA279" i="26"/>
  <c r="DD281" i="26"/>
  <c r="DD282" i="26"/>
  <c r="DD272" i="26"/>
  <c r="DA271" i="26"/>
  <c r="DA284" i="26"/>
  <c r="DA274" i="26"/>
  <c r="DB280" i="26"/>
  <c r="DD269" i="26"/>
  <c r="DA290" i="26"/>
  <c r="DD277" i="26"/>
  <c r="DD291" i="26"/>
  <c r="DB278" i="26"/>
  <c r="DB287" i="26"/>
  <c r="DA289" i="26"/>
  <c r="DD284" i="26"/>
  <c r="DA288" i="26"/>
  <c r="DA267" i="26"/>
  <c r="DD275" i="26"/>
  <c r="DD288" i="26"/>
  <c r="DB283" i="26"/>
  <c r="DB269" i="26"/>
  <c r="DA275" i="26"/>
  <c r="DA294" i="26"/>
  <c r="DA278" i="26"/>
  <c r="DD276" i="26"/>
  <c r="DA268" i="26"/>
  <c r="DD283" i="26"/>
  <c r="DA269" i="26"/>
  <c r="DB271" i="26"/>
  <c r="DA283" i="26"/>
  <c r="DA282" i="26"/>
  <c r="DB281" i="26"/>
  <c r="DB273" i="26"/>
  <c r="X9" i="9"/>
  <c r="X12" i="9" s="1"/>
  <c r="F299" i="27"/>
  <c r="G307" i="26"/>
  <c r="CM291" i="23"/>
  <c r="CL291" i="23"/>
  <c r="CJ292" i="23"/>
  <c r="CK292" i="23" s="1"/>
  <c r="BY293" i="23"/>
  <c r="CA293" i="23" s="1"/>
  <c r="CD293" i="23"/>
  <c r="CF293" i="23" s="1"/>
  <c r="DK293" i="23"/>
  <c r="CI293" i="23"/>
  <c r="BO293" i="23"/>
  <c r="DC293" i="23"/>
  <c r="BE294" i="23"/>
  <c r="BN293" i="23"/>
  <c r="CT293" i="23"/>
  <c r="BB294" i="23"/>
  <c r="BS293" i="23"/>
  <c r="BQ293" i="23"/>
  <c r="CW293" i="23"/>
  <c r="CY293" i="23"/>
  <c r="DF292" i="23"/>
  <c r="DE292" i="23"/>
  <c r="DO292" i="23"/>
  <c r="DG292" i="23"/>
  <c r="DN292" i="23"/>
  <c r="DM292" i="23"/>
  <c r="CS293" i="23"/>
  <c r="BM293" i="23"/>
  <c r="AV294" i="23"/>
  <c r="DA295" i="26" l="1"/>
  <c r="Y4" i="9"/>
  <c r="Y5" i="9"/>
  <c r="Y10" i="9" s="1"/>
  <c r="Y6" i="9"/>
  <c r="Y11" i="9" s="1"/>
  <c r="DB259" i="27"/>
  <c r="DB261" i="27" s="1"/>
  <c r="CH272" i="27"/>
  <c r="CC269" i="27"/>
  <c r="CC264" i="27"/>
  <c r="CE293" i="27"/>
  <c r="CC279" i="27"/>
  <c r="CE294" i="27"/>
  <c r="CC286" i="27"/>
  <c r="CE271" i="27"/>
  <c r="CE278" i="27"/>
  <c r="CC277" i="27"/>
  <c r="CH287" i="27"/>
  <c r="CH292" i="27"/>
  <c r="CE279" i="27"/>
  <c r="CH275" i="27"/>
  <c r="CC271" i="27"/>
  <c r="CC266" i="27"/>
  <c r="CC294" i="27"/>
  <c r="CE282" i="27"/>
  <c r="CE266" i="27"/>
  <c r="CH265" i="27"/>
  <c r="CE272" i="27"/>
  <c r="CC289" i="27"/>
  <c r="CE270" i="27"/>
  <c r="CH280" i="27"/>
  <c r="CC273" i="27"/>
  <c r="CE283" i="27"/>
  <c r="CH281" i="27"/>
  <c r="CC285" i="27"/>
  <c r="CE277" i="27"/>
  <c r="CC274" i="27"/>
  <c r="CE273" i="27"/>
  <c r="CE292" i="27"/>
  <c r="CH286" i="27"/>
  <c r="CH282" i="27"/>
  <c r="CC293" i="27"/>
  <c r="CE287" i="27"/>
  <c r="CE264" i="27"/>
  <c r="CH274" i="27"/>
  <c r="CH285" i="27"/>
  <c r="CH283" i="27"/>
  <c r="CE284" i="27"/>
  <c r="CC283" i="27"/>
  <c r="CC268" i="27"/>
  <c r="CE268" i="27"/>
  <c r="CE275" i="27"/>
  <c r="CH288" i="27"/>
  <c r="CH294" i="27"/>
  <c r="CC281" i="27"/>
  <c r="CH270" i="27"/>
  <c r="CC275" i="27"/>
  <c r="CH293" i="27"/>
  <c r="CH273" i="27"/>
  <c r="CC288" i="27"/>
  <c r="CH291" i="27"/>
  <c r="CH276" i="27"/>
  <c r="CE289" i="27"/>
  <c r="CH269" i="27"/>
  <c r="CC292" i="27"/>
  <c r="CE291" i="27"/>
  <c r="CC291" i="27"/>
  <c r="CC276" i="27"/>
  <c r="CE280" i="27"/>
  <c r="CE274" i="27"/>
  <c r="CC280" i="27"/>
  <c r="CC287" i="27"/>
  <c r="CH271" i="27"/>
  <c r="CE267" i="27"/>
  <c r="CH277" i="27"/>
  <c r="CE276" i="27"/>
  <c r="CE285" i="27"/>
  <c r="CE265" i="27"/>
  <c r="CC267" i="27"/>
  <c r="CE269" i="27"/>
  <c r="CE288" i="27"/>
  <c r="CH289" i="27"/>
  <c r="CH279" i="27"/>
  <c r="CE290" i="27"/>
  <c r="CH264" i="27"/>
  <c r="CE281" i="27"/>
  <c r="CC282" i="27"/>
  <c r="CC270" i="27"/>
  <c r="CC284" i="27"/>
  <c r="CH278" i="27"/>
  <c r="CC290" i="27"/>
  <c r="CH267" i="27"/>
  <c r="CC265" i="27"/>
  <c r="CE286" i="27"/>
  <c r="CH290" i="27"/>
  <c r="CC278" i="27"/>
  <c r="CH268" i="27"/>
  <c r="CH266" i="27"/>
  <c r="CC272" i="27"/>
  <c r="CH284" i="27"/>
  <c r="H36" i="27"/>
  <c r="G36" i="27" s="1"/>
  <c r="F307" i="27"/>
  <c r="CM292" i="23"/>
  <c r="CL292" i="23"/>
  <c r="CJ293" i="23"/>
  <c r="CK293" i="23" s="1"/>
  <c r="BM294" i="23"/>
  <c r="AV295" i="23"/>
  <c r="AV263" i="24" s="1"/>
  <c r="AV264" i="24" s="1"/>
  <c r="CS294" i="23"/>
  <c r="CI294" i="23"/>
  <c r="DK294" i="23"/>
  <c r="BO294" i="23"/>
  <c r="BE295" i="23"/>
  <c r="BE263" i="24" s="1"/>
  <c r="BE264" i="24" s="1"/>
  <c r="DC294" i="23"/>
  <c r="BY294" i="23"/>
  <c r="CA294" i="23" s="1"/>
  <c r="CA295" i="23" s="1"/>
  <c r="CA298" i="23" s="1"/>
  <c r="I378" i="23" s="1"/>
  <c r="CD294" i="23"/>
  <c r="CF294" i="23" s="1"/>
  <c r="CF295" i="23" s="1"/>
  <c r="CF298" i="23" s="1"/>
  <c r="DG293" i="23"/>
  <c r="DF293" i="23"/>
  <c r="DE293" i="23"/>
  <c r="DO293" i="23"/>
  <c r="DN293" i="23"/>
  <c r="DM293" i="23"/>
  <c r="BQ294" i="23"/>
  <c r="CY294" i="23"/>
  <c r="BN294" i="23"/>
  <c r="BS294" i="23"/>
  <c r="BB295" i="23"/>
  <c r="BB263" i="24" s="1"/>
  <c r="BB264" i="24" s="1"/>
  <c r="CT294" i="23"/>
  <c r="CW294" i="23"/>
  <c r="Y9" i="9" l="1"/>
  <c r="Y12" i="9" s="1"/>
  <c r="Z5" i="9" s="1"/>
  <c r="Z10" i="9" s="1"/>
  <c r="CH295" i="27"/>
  <c r="CH298" i="27" s="1"/>
  <c r="DD284" i="27"/>
  <c r="DA267" i="27"/>
  <c r="DA288" i="27"/>
  <c r="DA291" i="27"/>
  <c r="DD265" i="27"/>
  <c r="DA270" i="27"/>
  <c r="DD294" i="27"/>
  <c r="DB275" i="27"/>
  <c r="DB279" i="27"/>
  <c r="DD271" i="27"/>
  <c r="DA290" i="27"/>
  <c r="DA269" i="27"/>
  <c r="DD278" i="27"/>
  <c r="DB276" i="27"/>
  <c r="DB274" i="27"/>
  <c r="DA280" i="27"/>
  <c r="DA275" i="27"/>
  <c r="DD291" i="27"/>
  <c r="DA268" i="27"/>
  <c r="DD292" i="27"/>
  <c r="DB266" i="27"/>
  <c r="DB269" i="27"/>
  <c r="DB287" i="27"/>
  <c r="DB284" i="27"/>
  <c r="DD286" i="27"/>
  <c r="DA266" i="27"/>
  <c r="DA271" i="27"/>
  <c r="DB290" i="27"/>
  <c r="DA272" i="27"/>
  <c r="DD288" i="27"/>
  <c r="DD281" i="27"/>
  <c r="DA287" i="27"/>
  <c r="DD277" i="27"/>
  <c r="DB281" i="27"/>
  <c r="DA276" i="27"/>
  <c r="DD275" i="27"/>
  <c r="DD279" i="27"/>
  <c r="DB280" i="27"/>
  <c r="DD282" i="27"/>
  <c r="DB271" i="27"/>
  <c r="DB285" i="27"/>
  <c r="DB293" i="27"/>
  <c r="DA281" i="27"/>
  <c r="DD269" i="27"/>
  <c r="DB283" i="27"/>
  <c r="DA289" i="27"/>
  <c r="DB288" i="27"/>
  <c r="DB294" i="27"/>
  <c r="DD276" i="27"/>
  <c r="DD273" i="27"/>
  <c r="DD280" i="27"/>
  <c r="DA283" i="27"/>
  <c r="DB282" i="27"/>
  <c r="DA285" i="27"/>
  <c r="DD289" i="27"/>
  <c r="DB267" i="27"/>
  <c r="DD266" i="27"/>
  <c r="DD274" i="27"/>
  <c r="DA282" i="27"/>
  <c r="DA279" i="27"/>
  <c r="DB291" i="27"/>
  <c r="DA294" i="27"/>
  <c r="DA286" i="27"/>
  <c r="DB270" i="27"/>
  <c r="DA277" i="27"/>
  <c r="DB268" i="27"/>
  <c r="DA273" i="27"/>
  <c r="DD272" i="27"/>
  <c r="DB273" i="27"/>
  <c r="DD293" i="27"/>
  <c r="DD285" i="27"/>
  <c r="DB264" i="27"/>
  <c r="DA264" i="27"/>
  <c r="DA274" i="27"/>
  <c r="DD287" i="27"/>
  <c r="DD267" i="27"/>
  <c r="DD290" i="27"/>
  <c r="DD268" i="27"/>
  <c r="DD283" i="27"/>
  <c r="DB277" i="27"/>
  <c r="DB272" i="27"/>
  <c r="DB278" i="27"/>
  <c r="DA293" i="27"/>
  <c r="DB292" i="27"/>
  <c r="DB289" i="27"/>
  <c r="DA284" i="27"/>
  <c r="DB265" i="27"/>
  <c r="DD264" i="27"/>
  <c r="DA292" i="27"/>
  <c r="DB286" i="27"/>
  <c r="DA278" i="27"/>
  <c r="DD270" i="27"/>
  <c r="DA265" i="27"/>
  <c r="CF260" i="28"/>
  <c r="DB260" i="28"/>
  <c r="DJ261" i="27"/>
  <c r="M379" i="23"/>
  <c r="G307" i="27"/>
  <c r="F299" i="28"/>
  <c r="CI295" i="23"/>
  <c r="CI298" i="23" s="1"/>
  <c r="CJ294" i="23"/>
  <c r="CJ295" i="23" s="1"/>
  <c r="CM293" i="23"/>
  <c r="CL293" i="23"/>
  <c r="DE294" i="23"/>
  <c r="DE295" i="23" s="1"/>
  <c r="DF294" i="23"/>
  <c r="DF295" i="23" s="1"/>
  <c r="DO294" i="23"/>
  <c r="DO295" i="23" s="1"/>
  <c r="DG294" i="23"/>
  <c r="DG295" i="23" s="1"/>
  <c r="CD264" i="24"/>
  <c r="CF264" i="24" s="1"/>
  <c r="BY264" i="24"/>
  <c r="CA264" i="24" s="1"/>
  <c r="BE265" i="24"/>
  <c r="DK264" i="24"/>
  <c r="DC264" i="24"/>
  <c r="BO264" i="24"/>
  <c r="CI264" i="24"/>
  <c r="CY264" i="24"/>
  <c r="BN264" i="24"/>
  <c r="BS264" i="24"/>
  <c r="CT264" i="24"/>
  <c r="CW264" i="24"/>
  <c r="BQ264" i="24"/>
  <c r="BB265" i="24"/>
  <c r="DN294" i="23"/>
  <c r="DN295" i="23" s="1"/>
  <c r="DM294" i="23"/>
  <c r="DM295" i="23" s="1"/>
  <c r="BM264" i="24"/>
  <c r="CS264" i="24"/>
  <c r="AV265" i="24"/>
  <c r="H152" i="23" l="1"/>
  <c r="J155" i="23"/>
  <c r="H380" i="23"/>
  <c r="I380" i="23" s="1"/>
  <c r="H37" i="18" s="1"/>
  <c r="H35" i="18"/>
  <c r="Z4" i="9"/>
  <c r="Z6" i="9"/>
  <c r="Z11" i="9" s="1"/>
  <c r="Z9" i="9" s="1"/>
  <c r="Z12" i="9" s="1"/>
  <c r="DA295" i="27"/>
  <c r="CC281" i="28"/>
  <c r="CE285" i="28"/>
  <c r="CH293" i="28"/>
  <c r="CC266" i="28"/>
  <c r="CE273" i="28"/>
  <c r="CE268" i="28"/>
  <c r="CE266" i="28"/>
  <c r="CH272" i="28"/>
  <c r="CH288" i="28"/>
  <c r="CE279" i="28"/>
  <c r="CC267" i="28"/>
  <c r="CC291" i="28"/>
  <c r="CE270" i="28"/>
  <c r="CH269" i="28"/>
  <c r="CH267" i="28"/>
  <c r="CC288" i="28"/>
  <c r="CH281" i="28"/>
  <c r="CC290" i="28"/>
  <c r="DB259" i="28"/>
  <c r="CH282" i="28"/>
  <c r="CH289" i="28"/>
  <c r="CE281" i="28"/>
  <c r="CC289" i="28"/>
  <c r="CH270" i="28"/>
  <c r="CH280" i="28"/>
  <c r="CH265" i="28"/>
  <c r="CE289" i="28"/>
  <c r="CC280" i="28"/>
  <c r="CE287" i="28"/>
  <c r="CC274" i="28"/>
  <c r="CH273" i="28"/>
  <c r="CH274" i="28"/>
  <c r="CC284" i="28"/>
  <c r="CH271" i="28"/>
  <c r="CE293" i="28"/>
  <c r="CC264" i="28"/>
  <c r="CC272" i="28"/>
  <c r="CE291" i="28"/>
  <c r="CC292" i="28"/>
  <c r="CE264" i="28"/>
  <c r="CE284" i="28"/>
  <c r="CE267" i="28"/>
  <c r="CE265" i="28"/>
  <c r="CH292" i="28"/>
  <c r="CC283" i="28"/>
  <c r="CH268" i="28"/>
  <c r="CC268" i="28"/>
  <c r="CC271" i="28"/>
  <c r="CH266" i="28"/>
  <c r="CC270" i="28"/>
  <c r="CE278" i="28"/>
  <c r="CH291" i="28"/>
  <c r="CH294" i="28"/>
  <c r="CE275" i="28"/>
  <c r="CE292" i="28"/>
  <c r="CH287" i="28"/>
  <c r="CC287" i="28"/>
  <c r="CH283" i="28"/>
  <c r="CH286" i="28"/>
  <c r="CE274" i="28"/>
  <c r="CE288" i="28"/>
  <c r="CE269" i="28"/>
  <c r="CC265" i="28"/>
  <c r="CH278" i="28"/>
  <c r="CC269" i="28"/>
  <c r="CH264" i="28"/>
  <c r="CH279" i="28"/>
  <c r="CE290" i="28"/>
  <c r="CC285" i="28"/>
  <c r="CC294" i="28"/>
  <c r="CH277" i="28"/>
  <c r="CE283" i="28"/>
  <c r="CC282" i="28"/>
  <c r="CE280" i="28"/>
  <c r="CC278" i="28"/>
  <c r="CH290" i="28"/>
  <c r="CH276" i="28"/>
  <c r="CE271" i="28"/>
  <c r="CE294" i="28"/>
  <c r="CE286" i="28"/>
  <c r="CC279" i="28"/>
  <c r="CH284" i="28"/>
  <c r="CC277" i="28"/>
  <c r="CC286" i="28"/>
  <c r="CH285" i="28"/>
  <c r="CH275" i="28"/>
  <c r="CE272" i="28"/>
  <c r="CC293" i="28"/>
  <c r="CC276" i="28"/>
  <c r="CE276" i="28"/>
  <c r="CC275" i="28"/>
  <c r="CE282" i="28"/>
  <c r="CC273" i="28"/>
  <c r="CE277" i="28"/>
  <c r="F307" i="28"/>
  <c r="H36" i="28"/>
  <c r="G36" i="28" s="1"/>
  <c r="CM294" i="23"/>
  <c r="CM295" i="23" s="1"/>
  <c r="CL294" i="23"/>
  <c r="CL295" i="23" s="1"/>
  <c r="CK294" i="23"/>
  <c r="CK295" i="23" s="1"/>
  <c r="CJ264" i="24"/>
  <c r="DN264" i="24"/>
  <c r="DM264" i="24"/>
  <c r="DK265" i="24"/>
  <c r="CD265" i="24"/>
  <c r="CF265" i="24" s="1"/>
  <c r="BE266" i="24"/>
  <c r="DC265" i="24"/>
  <c r="BY265" i="24"/>
  <c r="CA265" i="24" s="1"/>
  <c r="BO265" i="24"/>
  <c r="CI265" i="24"/>
  <c r="H375" i="23"/>
  <c r="I375" i="23" s="1"/>
  <c r="H32" i="18" s="1"/>
  <c r="BM265" i="24"/>
  <c r="CS265" i="24"/>
  <c r="AV266" i="24"/>
  <c r="BN265" i="24"/>
  <c r="CW265" i="24"/>
  <c r="BB266" i="24"/>
  <c r="CY265" i="24"/>
  <c r="CT265" i="24"/>
  <c r="BQ265" i="24"/>
  <c r="BS265" i="24"/>
  <c r="DE264" i="24"/>
  <c r="DO264" i="24"/>
  <c r="DF264" i="24"/>
  <c r="DG264" i="24"/>
  <c r="T18" i="9" l="1"/>
  <c r="T20" i="9" s="1"/>
  <c r="CF260" i="29"/>
  <c r="CE271" i="29" s="1"/>
  <c r="DB260" i="29"/>
  <c r="DJ261" i="28"/>
  <c r="DB286" i="28"/>
  <c r="DB274" i="28"/>
  <c r="DD264" i="28"/>
  <c r="DA282" i="28"/>
  <c r="DD289" i="28"/>
  <c r="DD286" i="28"/>
  <c r="DA270" i="28"/>
  <c r="DB272" i="28"/>
  <c r="DB268" i="28"/>
  <c r="DB273" i="28"/>
  <c r="DA294" i="28"/>
  <c r="DD278" i="28"/>
  <c r="DA264" i="28"/>
  <c r="DB278" i="28"/>
  <c r="DA284" i="28"/>
  <c r="DB291" i="28"/>
  <c r="DA273" i="28"/>
  <c r="DA267" i="28"/>
  <c r="DD293" i="28"/>
  <c r="DD283" i="28"/>
  <c r="DD280" i="28"/>
  <c r="DD267" i="28"/>
  <c r="DB292" i="28"/>
  <c r="DB293" i="28"/>
  <c r="DD288" i="28"/>
  <c r="DA277" i="28"/>
  <c r="DB267" i="28"/>
  <c r="DA275" i="28"/>
  <c r="DA286" i="28"/>
  <c r="DD276" i="28"/>
  <c r="DA265" i="28"/>
  <c r="DA278" i="28"/>
  <c r="DB290" i="28"/>
  <c r="DD291" i="28"/>
  <c r="DD285" i="28"/>
  <c r="DB279" i="28"/>
  <c r="DD273" i="28"/>
  <c r="DB288" i="28"/>
  <c r="DA281" i="28"/>
  <c r="DA266" i="28"/>
  <c r="DA285" i="28"/>
  <c r="DB281" i="28"/>
  <c r="DB265" i="28"/>
  <c r="DD284" i="28"/>
  <c r="DA291" i="28"/>
  <c r="DB275" i="28"/>
  <c r="DD272" i="28"/>
  <c r="DB276" i="28"/>
  <c r="DB280" i="28"/>
  <c r="DA293" i="28"/>
  <c r="DA269" i="28"/>
  <c r="DB269" i="28"/>
  <c r="DD294" i="28"/>
  <c r="DB271" i="28"/>
  <c r="DB283" i="28"/>
  <c r="DD279" i="28"/>
  <c r="DD266" i="28"/>
  <c r="DB289" i="28"/>
  <c r="DD287" i="28"/>
  <c r="DA292" i="28"/>
  <c r="DA271" i="28"/>
  <c r="DA288" i="28"/>
  <c r="DD271" i="28"/>
  <c r="DD270" i="28"/>
  <c r="DD281" i="28"/>
  <c r="DB270" i="28"/>
  <c r="DD274" i="28"/>
  <c r="DD268" i="28"/>
  <c r="DA287" i="28"/>
  <c r="DB287" i="28"/>
  <c r="DA276" i="28"/>
  <c r="DB277" i="28"/>
  <c r="DB284" i="28"/>
  <c r="DA280" i="28"/>
  <c r="DA279" i="28"/>
  <c r="DB266" i="28"/>
  <c r="DB264" i="28"/>
  <c r="DD265" i="28"/>
  <c r="DD277" i="28"/>
  <c r="DA272" i="28"/>
  <c r="DA268" i="28"/>
  <c r="DB294" i="28"/>
  <c r="DD290" i="28"/>
  <c r="DA289" i="28"/>
  <c r="DB282" i="28"/>
  <c r="DA274" i="28"/>
  <c r="DA290" i="28"/>
  <c r="DA283" i="28"/>
  <c r="DD292" i="28"/>
  <c r="DD275" i="28"/>
  <c r="DB285" i="28"/>
  <c r="DD282" i="28"/>
  <c r="DD269" i="28"/>
  <c r="CH295" i="28"/>
  <c r="CH298" i="28" s="1"/>
  <c r="DB261" i="28"/>
  <c r="F299" i="29"/>
  <c r="G307" i="28"/>
  <c r="CJ265" i="24"/>
  <c r="CK264" i="24"/>
  <c r="CM264" i="24"/>
  <c r="CL264" i="24"/>
  <c r="P404" i="23"/>
  <c r="H412" i="23" s="1"/>
  <c r="I412" i="23" s="1"/>
  <c r="H69" i="18" s="1"/>
  <c r="I404" i="23"/>
  <c r="H61" i="18" s="1"/>
  <c r="J375" i="23"/>
  <c r="J376" i="23" s="1"/>
  <c r="J377" i="23" s="1"/>
  <c r="J378" i="23" s="1"/>
  <c r="J379" i="23" s="1"/>
  <c r="J380" i="23" s="1"/>
  <c r="J381" i="23" s="1"/>
  <c r="J382" i="23" s="1"/>
  <c r="BM266" i="24"/>
  <c r="CS266" i="24"/>
  <c r="AV267" i="24"/>
  <c r="DG265" i="24"/>
  <c r="DE265" i="24"/>
  <c r="DF265" i="24"/>
  <c r="DO265" i="24"/>
  <c r="DC266" i="24"/>
  <c r="BO266" i="24"/>
  <c r="CI266" i="24"/>
  <c r="DK266" i="24"/>
  <c r="BE267" i="24"/>
  <c r="BY266" i="24"/>
  <c r="CA266" i="24" s="1"/>
  <c r="CD266" i="24"/>
  <c r="CF266" i="24" s="1"/>
  <c r="DM265" i="24"/>
  <c r="DN265" i="24"/>
  <c r="A165" i="23"/>
  <c r="A157" i="23"/>
  <c r="A164" i="23"/>
  <c r="A162" i="23"/>
  <c r="CY266" i="24"/>
  <c r="BQ266" i="24"/>
  <c r="CT266" i="24"/>
  <c r="BB267" i="24"/>
  <c r="BN266" i="24"/>
  <c r="CW266" i="24"/>
  <c r="BS266" i="24"/>
  <c r="CE274" i="29" l="1"/>
  <c r="CE272" i="29"/>
  <c r="CE266" i="29"/>
  <c r="CH272" i="29"/>
  <c r="CC282" i="29"/>
  <c r="CC270" i="29"/>
  <c r="CH268" i="29"/>
  <c r="CH265" i="29"/>
  <c r="CH292" i="29"/>
  <c r="CC280" i="29"/>
  <c r="CC269" i="29"/>
  <c r="CH282" i="29"/>
  <c r="CC276" i="29"/>
  <c r="CH290" i="29"/>
  <c r="CH275" i="29"/>
  <c r="CE288" i="29"/>
  <c r="CE270" i="29"/>
  <c r="CC292" i="29"/>
  <c r="CC294" i="29"/>
  <c r="CH278" i="29"/>
  <c r="CH288" i="29"/>
  <c r="CH283" i="29"/>
  <c r="CC272" i="29"/>
  <c r="CC264" i="29"/>
  <c r="CH264" i="29"/>
  <c r="CC285" i="29"/>
  <c r="CH281" i="29"/>
  <c r="CH284" i="29"/>
  <c r="CH274" i="29"/>
  <c r="CC273" i="29"/>
  <c r="CH285" i="29"/>
  <c r="DB259" i="29"/>
  <c r="DD292" i="29" s="1"/>
  <c r="CH287" i="29"/>
  <c r="CH269" i="29"/>
  <c r="CH270" i="29"/>
  <c r="CC274" i="29"/>
  <c r="CE281" i="29"/>
  <c r="CE291" i="29"/>
  <c r="CE276" i="29"/>
  <c r="CC267" i="29"/>
  <c r="CH276" i="29"/>
  <c r="CE268" i="29"/>
  <c r="CC291" i="29"/>
  <c r="CE290" i="29"/>
  <c r="CC290" i="29"/>
  <c r="CE273" i="29"/>
  <c r="CH294" i="29"/>
  <c r="CE279" i="29"/>
  <c r="CE284" i="29"/>
  <c r="CC275" i="29"/>
  <c r="CH271" i="29"/>
  <c r="CC283" i="29"/>
  <c r="CC286" i="29"/>
  <c r="CC266" i="29"/>
  <c r="CC265" i="29"/>
  <c r="CH291" i="29"/>
  <c r="CE282" i="29"/>
  <c r="CE265" i="29"/>
  <c r="CE286" i="29"/>
  <c r="CE277" i="29"/>
  <c r="CE283" i="29"/>
  <c r="CH277" i="29"/>
  <c r="CE280" i="29"/>
  <c r="CH289" i="29"/>
  <c r="CC277" i="29"/>
  <c r="CH293" i="29"/>
  <c r="CE287" i="29"/>
  <c r="CC268" i="29"/>
  <c r="CE293" i="29"/>
  <c r="CH267" i="29"/>
  <c r="CC278" i="29"/>
  <c r="CC287" i="29"/>
  <c r="CE285" i="29"/>
  <c r="CC289" i="29"/>
  <c r="CE292" i="29"/>
  <c r="CC271" i="29"/>
  <c r="CH273" i="29"/>
  <c r="CH266" i="29"/>
  <c r="CC281" i="29"/>
  <c r="CE294" i="29"/>
  <c r="CE269" i="29"/>
  <c r="CE275" i="29"/>
  <c r="CE278" i="29"/>
  <c r="CH286" i="29"/>
  <c r="CC288" i="29"/>
  <c r="CC293" i="29"/>
  <c r="CC284" i="29"/>
  <c r="CH279" i="29"/>
  <c r="CE289" i="29"/>
  <c r="CE267" i="29"/>
  <c r="CC279" i="29"/>
  <c r="CH280" i="29"/>
  <c r="CE264" i="29"/>
  <c r="DA295" i="28"/>
  <c r="F307" i="29"/>
  <c r="H36" i="29"/>
  <c r="G36" i="29" s="1"/>
  <c r="H432" i="23"/>
  <c r="I432" i="23" s="1"/>
  <c r="H89" i="18" s="1"/>
  <c r="S89" i="18" s="1"/>
  <c r="I18" i="18" s="1"/>
  <c r="H407" i="23"/>
  <c r="I407" i="23" s="1"/>
  <c r="H64" i="18" s="1"/>
  <c r="H411" i="23"/>
  <c r="I411" i="23" s="1"/>
  <c r="H68" i="18" s="1"/>
  <c r="P408" i="23"/>
  <c r="P409" i="23"/>
  <c r="P411" i="23"/>
  <c r="P407" i="23"/>
  <c r="P412" i="23"/>
  <c r="H409" i="23"/>
  <c r="I409" i="23" s="1"/>
  <c r="H66" i="18" s="1"/>
  <c r="P413" i="23"/>
  <c r="H408" i="23"/>
  <c r="I408" i="23" s="1"/>
  <c r="H65" i="18" s="1"/>
  <c r="CJ266" i="24"/>
  <c r="CM265" i="24"/>
  <c r="CL265" i="24"/>
  <c r="CK265" i="24"/>
  <c r="F158" i="23"/>
  <c r="A158" i="23"/>
  <c r="A177" i="23"/>
  <c r="A172" i="23"/>
  <c r="A169" i="23"/>
  <c r="F169" i="23"/>
  <c r="A175" i="23"/>
  <c r="A161" i="23"/>
  <c r="F165" i="23"/>
  <c r="F167" i="23" s="1"/>
  <c r="A166" i="23"/>
  <c r="BO267" i="24"/>
  <c r="BY267" i="24"/>
  <c r="CA267" i="24" s="1"/>
  <c r="CD267" i="24"/>
  <c r="CF267" i="24" s="1"/>
  <c r="CI267" i="24"/>
  <c r="DK267" i="24"/>
  <c r="DC267" i="24"/>
  <c r="BE268" i="24"/>
  <c r="A167" i="23"/>
  <c r="A159" i="23"/>
  <c r="F159" i="23"/>
  <c r="DM266" i="24"/>
  <c r="DN266" i="24"/>
  <c r="AV268" i="24"/>
  <c r="BM267" i="24"/>
  <c r="CS267" i="24"/>
  <c r="F160" i="23"/>
  <c r="A160" i="23"/>
  <c r="BS267" i="24"/>
  <c r="BQ267" i="24"/>
  <c r="BB268" i="24"/>
  <c r="CT267" i="24"/>
  <c r="CY267" i="24"/>
  <c r="CW267" i="24"/>
  <c r="BN267" i="24"/>
  <c r="F163" i="23"/>
  <c r="A163" i="23"/>
  <c r="DF266" i="24"/>
  <c r="DO266" i="24"/>
  <c r="DE266" i="24"/>
  <c r="DG266" i="24"/>
  <c r="J383" i="23"/>
  <c r="DB275" i="29" l="1"/>
  <c r="DD278" i="29"/>
  <c r="DD268" i="29"/>
  <c r="DA293" i="29"/>
  <c r="DD291" i="29"/>
  <c r="DA273" i="29"/>
  <c r="DA288" i="29"/>
  <c r="DA276" i="29"/>
  <c r="DB266" i="29"/>
  <c r="DA268" i="29"/>
  <c r="DD267" i="29"/>
  <c r="CH295" i="29"/>
  <c r="CH298" i="29" s="1"/>
  <c r="DD274" i="29"/>
  <c r="DD276" i="29"/>
  <c r="DB285" i="29"/>
  <c r="DD270" i="29"/>
  <c r="DJ261" i="29"/>
  <c r="DA272" i="29"/>
  <c r="DB267" i="29"/>
  <c r="DA292" i="29"/>
  <c r="DB293" i="29"/>
  <c r="DA281" i="29"/>
  <c r="DA285" i="29"/>
  <c r="DA294" i="29"/>
  <c r="DD290" i="29"/>
  <c r="DA291" i="29"/>
  <c r="DD272" i="29"/>
  <c r="DB268" i="29"/>
  <c r="DB265" i="29"/>
  <c r="DD283" i="29"/>
  <c r="DA264" i="29"/>
  <c r="DA280" i="29"/>
  <c r="DD271" i="29"/>
  <c r="DD284" i="29"/>
  <c r="DB261" i="29"/>
  <c r="DD281" i="29"/>
  <c r="DD288" i="29"/>
  <c r="DB279" i="29"/>
  <c r="DB292" i="29"/>
  <c r="DB290" i="29"/>
  <c r="DB272" i="29"/>
  <c r="DB278" i="29"/>
  <c r="DB273" i="29"/>
  <c r="DB280" i="29"/>
  <c r="DA277" i="29"/>
  <c r="DD287" i="29"/>
  <c r="DB286" i="29"/>
  <c r="DB282" i="29"/>
  <c r="DD277" i="29"/>
  <c r="DB271" i="29"/>
  <c r="DD269" i="29"/>
  <c r="DA269" i="29"/>
  <c r="DB269" i="29"/>
  <c r="DB274" i="29"/>
  <c r="DB270" i="29"/>
  <c r="DA286" i="29"/>
  <c r="DD279" i="29"/>
  <c r="DB277" i="29"/>
  <c r="DD289" i="29"/>
  <c r="DA283" i="29"/>
  <c r="DB281" i="29"/>
  <c r="DA266" i="29"/>
  <c r="DB287" i="29"/>
  <c r="DA275" i="29"/>
  <c r="DA289" i="29"/>
  <c r="DD286" i="29"/>
  <c r="DD264" i="29"/>
  <c r="DD294" i="29"/>
  <c r="DD265" i="29"/>
  <c r="DA265" i="29"/>
  <c r="DA278" i="29"/>
  <c r="DD275" i="29"/>
  <c r="DB276" i="29"/>
  <c r="DA271" i="29"/>
  <c r="DD266" i="29"/>
  <c r="DA287" i="29"/>
  <c r="DB264" i="29"/>
  <c r="DD273" i="29"/>
  <c r="DD293" i="29"/>
  <c r="DB284" i="29"/>
  <c r="DA282" i="29"/>
  <c r="DD280" i="29"/>
  <c r="DB283" i="29"/>
  <c r="DA290" i="29"/>
  <c r="DB291" i="29"/>
  <c r="DA274" i="29"/>
  <c r="DA284" i="29"/>
  <c r="DB289" i="29"/>
  <c r="DB294" i="29"/>
  <c r="DD285" i="29"/>
  <c r="DA270" i="29"/>
  <c r="DA267" i="29"/>
  <c r="DD282" i="29"/>
  <c r="DB288" i="29"/>
  <c r="DA279" i="29"/>
  <c r="M435" i="23"/>
  <c r="P427" i="23"/>
  <c r="P428" i="23" s="1"/>
  <c r="C12" i="15"/>
  <c r="G307" i="29"/>
  <c r="F162" i="23"/>
  <c r="I428" i="23"/>
  <c r="I430" i="23" s="1"/>
  <c r="CJ267" i="24"/>
  <c r="CK267" i="24" s="1"/>
  <c r="CK266" i="24"/>
  <c r="CM266" i="24"/>
  <c r="CL266" i="24"/>
  <c r="A178" i="23"/>
  <c r="A176" i="23"/>
  <c r="F176" i="23"/>
  <c r="F178" i="23" s="1"/>
  <c r="F170" i="23"/>
  <c r="F173" i="23" s="1"/>
  <c r="A170" i="23"/>
  <c r="A171" i="23"/>
  <c r="F171" i="23"/>
  <c r="F174" i="23"/>
  <c r="A174" i="23"/>
  <c r="A188" i="23"/>
  <c r="A183" i="23"/>
  <c r="A180" i="23"/>
  <c r="A186" i="23"/>
  <c r="F180" i="23"/>
  <c r="CI268" i="24"/>
  <c r="DC268" i="24"/>
  <c r="DK268" i="24"/>
  <c r="BO268" i="24"/>
  <c r="CD268" i="24"/>
  <c r="CF268" i="24" s="1"/>
  <c r="BE269" i="24"/>
  <c r="BY268" i="24"/>
  <c r="CA268" i="24" s="1"/>
  <c r="F179" i="23"/>
  <c r="CS268" i="24"/>
  <c r="BM268" i="24"/>
  <c r="AV269" i="24"/>
  <c r="DE267" i="24"/>
  <c r="DF267" i="24"/>
  <c r="DG267" i="24"/>
  <c r="DO267" i="24"/>
  <c r="A173" i="23"/>
  <c r="BS268" i="24"/>
  <c r="CW268" i="24"/>
  <c r="BN268" i="24"/>
  <c r="BQ268" i="24"/>
  <c r="CT268" i="24"/>
  <c r="BB269" i="24"/>
  <c r="CY268" i="24"/>
  <c r="DN267" i="24"/>
  <c r="DM267" i="24"/>
  <c r="J384" i="23"/>
  <c r="DA295" i="29" l="1"/>
  <c r="G155" i="23"/>
  <c r="H85" i="18"/>
  <c r="CM267" i="24"/>
  <c r="CL267" i="24"/>
  <c r="CJ268" i="24"/>
  <c r="CM268" i="24" s="1"/>
  <c r="DG268" i="24"/>
  <c r="DF268" i="24"/>
  <c r="DO268" i="24"/>
  <c r="DE268" i="24"/>
  <c r="BS269" i="24"/>
  <c r="CW269" i="24"/>
  <c r="CT269" i="24"/>
  <c r="BN269" i="24"/>
  <c r="BB270" i="24"/>
  <c r="CY269" i="24"/>
  <c r="BQ269" i="24"/>
  <c r="A189" i="23"/>
  <c r="A184" i="23"/>
  <c r="BE270" i="24"/>
  <c r="BO269" i="24"/>
  <c r="CD269" i="24"/>
  <c r="CF269" i="24" s="1"/>
  <c r="DC269" i="24"/>
  <c r="DK269" i="24"/>
  <c r="CI269" i="24"/>
  <c r="BY269" i="24"/>
  <c r="CA269" i="24" s="1"/>
  <c r="F185" i="23"/>
  <c r="A185" i="23"/>
  <c r="A187" i="23"/>
  <c r="F187" i="23"/>
  <c r="F189" i="23" s="1"/>
  <c r="A181" i="23"/>
  <c r="F181" i="23"/>
  <c r="F184" i="23" s="1"/>
  <c r="BM269" i="24"/>
  <c r="AV270" i="24"/>
  <c r="CS269" i="24"/>
  <c r="A182" i="23"/>
  <c r="F182" i="23"/>
  <c r="DM268" i="24"/>
  <c r="DN268" i="24"/>
  <c r="F155" i="23"/>
  <c r="H87" i="18"/>
  <c r="I447" i="23"/>
  <c r="H104" i="18" s="1"/>
  <c r="J385" i="23"/>
  <c r="CK268" i="24" l="1"/>
  <c r="CJ269" i="24"/>
  <c r="CM269" i="24" s="1"/>
  <c r="CL268" i="24"/>
  <c r="BM270" i="24"/>
  <c r="AV271" i="24"/>
  <c r="CS270" i="24"/>
  <c r="DN269" i="24"/>
  <c r="DM269" i="24"/>
  <c r="DE269" i="24"/>
  <c r="DO269" i="24"/>
  <c r="DF269" i="24"/>
  <c r="DG269" i="24"/>
  <c r="CD270" i="24"/>
  <c r="CF270" i="24" s="1"/>
  <c r="BE271" i="24"/>
  <c r="BO270" i="24"/>
  <c r="DK270" i="24"/>
  <c r="BY270" i="24"/>
  <c r="CA270" i="24" s="1"/>
  <c r="CI270" i="24"/>
  <c r="CJ270" i="24" s="1"/>
  <c r="CM270" i="24" s="1"/>
  <c r="DC270" i="24"/>
  <c r="BQ270" i="24"/>
  <c r="BB271" i="24"/>
  <c r="BN270" i="24"/>
  <c r="CY270" i="24"/>
  <c r="CT270" i="24"/>
  <c r="CW270" i="24"/>
  <c r="BS270" i="24"/>
  <c r="J386" i="23"/>
  <c r="CL269" i="24" l="1"/>
  <c r="CK269" i="24"/>
  <c r="CK270" i="24"/>
  <c r="CL270" i="24"/>
  <c r="DN270" i="24"/>
  <c r="DM270" i="24"/>
  <c r="BE272" i="24"/>
  <c r="BY271" i="24"/>
  <c r="CA271" i="24" s="1"/>
  <c r="BO271" i="24"/>
  <c r="DK271" i="24"/>
  <c r="CI271" i="24"/>
  <c r="CD271" i="24"/>
  <c r="CF271" i="24" s="1"/>
  <c r="DC271" i="24"/>
  <c r="BN271" i="24"/>
  <c r="CW271" i="24"/>
  <c r="BS271" i="24"/>
  <c r="BQ271" i="24"/>
  <c r="BB272" i="24"/>
  <c r="CT271" i="24"/>
  <c r="CY271" i="24"/>
  <c r="DE270" i="24"/>
  <c r="DO270" i="24"/>
  <c r="DF270" i="24"/>
  <c r="DG270" i="24"/>
  <c r="CS271" i="24"/>
  <c r="BM271" i="24"/>
  <c r="AV272" i="24"/>
  <c r="J387" i="23"/>
  <c r="CJ271" i="24" l="1"/>
  <c r="CL271" i="24" s="1"/>
  <c r="CT272" i="24"/>
  <c r="CW272" i="24"/>
  <c r="BN272" i="24"/>
  <c r="CY272" i="24"/>
  <c r="BS272" i="24"/>
  <c r="BQ272" i="24"/>
  <c r="BB273" i="24"/>
  <c r="DN271" i="24"/>
  <c r="DM271" i="24"/>
  <c r="CS272" i="24"/>
  <c r="AV273" i="24"/>
  <c r="BM272" i="24"/>
  <c r="DC272" i="24"/>
  <c r="DK272" i="24"/>
  <c r="BY272" i="24"/>
  <c r="CA272" i="24" s="1"/>
  <c r="CI272" i="24"/>
  <c r="BE273" i="24"/>
  <c r="CD272" i="24"/>
  <c r="CF272" i="24" s="1"/>
  <c r="BO272" i="24"/>
  <c r="DG271" i="24"/>
  <c r="DO271" i="24"/>
  <c r="DE271" i="24"/>
  <c r="DF271" i="24"/>
  <c r="J388" i="23"/>
  <c r="CK271" i="24" l="1"/>
  <c r="CM271" i="24"/>
  <c r="CJ272" i="24"/>
  <c r="DM272" i="24"/>
  <c r="DN272" i="24"/>
  <c r="BN273" i="24"/>
  <c r="BB274" i="24"/>
  <c r="BS273" i="24"/>
  <c r="BQ273" i="24"/>
  <c r="CT273" i="24"/>
  <c r="CW273" i="24"/>
  <c r="CY273" i="24"/>
  <c r="AV274" i="24"/>
  <c r="CS273" i="24"/>
  <c r="BM273" i="24"/>
  <c r="BY273" i="24"/>
  <c r="CA273" i="24" s="1"/>
  <c r="DK273" i="24"/>
  <c r="BO273" i="24"/>
  <c r="CD273" i="24"/>
  <c r="CF273" i="24" s="1"/>
  <c r="DC273" i="24"/>
  <c r="BE274" i="24"/>
  <c r="CI273" i="24"/>
  <c r="DF272" i="24"/>
  <c r="DE272" i="24"/>
  <c r="DO272" i="24"/>
  <c r="DG272" i="24"/>
  <c r="J389" i="23"/>
  <c r="CJ273" i="24" l="1"/>
  <c r="CK273" i="24" s="1"/>
  <c r="CK272" i="24"/>
  <c r="CL272" i="24"/>
  <c r="CM272" i="24"/>
  <c r="DN273" i="24"/>
  <c r="DM273" i="24"/>
  <c r="CT274" i="24"/>
  <c r="BN274" i="24"/>
  <c r="CW274" i="24"/>
  <c r="BQ274" i="24"/>
  <c r="BS274" i="24"/>
  <c r="CY274" i="24"/>
  <c r="BB275" i="24"/>
  <c r="DK274" i="24"/>
  <c r="DC274" i="24"/>
  <c r="BY274" i="24"/>
  <c r="CA274" i="24" s="1"/>
  <c r="CI274" i="24"/>
  <c r="CD274" i="24"/>
  <c r="CF274" i="24" s="1"/>
  <c r="BE275" i="24"/>
  <c r="BO274" i="24"/>
  <c r="CS274" i="24"/>
  <c r="AV275" i="24"/>
  <c r="BM274" i="24"/>
  <c r="DF273" i="24"/>
  <c r="DG273" i="24"/>
  <c r="DE273" i="24"/>
  <c r="DO273" i="24"/>
  <c r="J390" i="23"/>
  <c r="CM273" i="24" l="1"/>
  <c r="CL273" i="24"/>
  <c r="CJ274" i="24"/>
  <c r="CL274" i="24" s="1"/>
  <c r="CI275" i="24"/>
  <c r="BY275" i="24"/>
  <c r="CA275" i="24" s="1"/>
  <c r="BO275" i="24"/>
  <c r="CD275" i="24"/>
  <c r="CF275" i="24" s="1"/>
  <c r="BE276" i="24"/>
  <c r="DK275" i="24"/>
  <c r="DC275" i="24"/>
  <c r="DE274" i="24"/>
  <c r="DF274" i="24"/>
  <c r="DG274" i="24"/>
  <c r="DO274" i="24"/>
  <c r="BM275" i="24"/>
  <c r="AV276" i="24"/>
  <c r="CS275" i="24"/>
  <c r="DM274" i="24"/>
  <c r="DN274" i="24"/>
  <c r="BS275" i="24"/>
  <c r="CT275" i="24"/>
  <c r="BQ275" i="24"/>
  <c r="BN275" i="24"/>
  <c r="CY275" i="24"/>
  <c r="CW275" i="24"/>
  <c r="BB276" i="24"/>
  <c r="J391" i="23"/>
  <c r="CK274" i="24" l="1"/>
  <c r="CJ275" i="24"/>
  <c r="CM274" i="24"/>
  <c r="DO275" i="24"/>
  <c r="DF275" i="24"/>
  <c r="DG275" i="24"/>
  <c r="DE275" i="24"/>
  <c r="AV277" i="24"/>
  <c r="CS276" i="24"/>
  <c r="BM276" i="24"/>
  <c r="DM275" i="24"/>
  <c r="DN275" i="24"/>
  <c r="DK276" i="24"/>
  <c r="BO276" i="24"/>
  <c r="DC276" i="24"/>
  <c r="CI276" i="24"/>
  <c r="BE277" i="24"/>
  <c r="BY276" i="24"/>
  <c r="CA276" i="24" s="1"/>
  <c r="CD276" i="24"/>
  <c r="CF276" i="24" s="1"/>
  <c r="CT276" i="24"/>
  <c r="BQ276" i="24"/>
  <c r="CW276" i="24"/>
  <c r="BN276" i="24"/>
  <c r="CY276" i="24"/>
  <c r="BS276" i="24"/>
  <c r="BB277" i="24"/>
  <c r="J392" i="23"/>
  <c r="CJ276" i="24" l="1"/>
  <c r="CK276" i="24" s="1"/>
  <c r="CK275" i="24"/>
  <c r="CL275" i="24"/>
  <c r="CM275" i="24"/>
  <c r="CW277" i="24"/>
  <c r="BQ277" i="24"/>
  <c r="BB278" i="24"/>
  <c r="BS277" i="24"/>
  <c r="BN277" i="24"/>
  <c r="CY277" i="24"/>
  <c r="CT277" i="24"/>
  <c r="DC277" i="24"/>
  <c r="BO277" i="24"/>
  <c r="BY277" i="24"/>
  <c r="CA277" i="24" s="1"/>
  <c r="CI277" i="24"/>
  <c r="CD277" i="24"/>
  <c r="CF277" i="24" s="1"/>
  <c r="BE278" i="24"/>
  <c r="DK277" i="24"/>
  <c r="BM277" i="24"/>
  <c r="AV278" i="24"/>
  <c r="CS277" i="24"/>
  <c r="DF276" i="24"/>
  <c r="DE276" i="24"/>
  <c r="DO276" i="24"/>
  <c r="DG276" i="24"/>
  <c r="DN276" i="24"/>
  <c r="DM276" i="24"/>
  <c r="J393" i="23"/>
  <c r="CM276" i="24" l="1"/>
  <c r="CL276" i="24"/>
  <c r="CJ277" i="24"/>
  <c r="CM277" i="24" s="1"/>
  <c r="DO277" i="24"/>
  <c r="DF277" i="24"/>
  <c r="DE277" i="24"/>
  <c r="DG277" i="24"/>
  <c r="DM277" i="24"/>
  <c r="DN277" i="24"/>
  <c r="BO278" i="24"/>
  <c r="CD278" i="24"/>
  <c r="CF278" i="24" s="1"/>
  <c r="BE279" i="24"/>
  <c r="BY278" i="24"/>
  <c r="CA278" i="24" s="1"/>
  <c r="DC278" i="24"/>
  <c r="DK278" i="24"/>
  <c r="CI278" i="24"/>
  <c r="BN278" i="24"/>
  <c r="BQ278" i="24"/>
  <c r="BS278" i="24"/>
  <c r="CW278" i="24"/>
  <c r="BB279" i="24"/>
  <c r="CY278" i="24"/>
  <c r="CT278" i="24"/>
  <c r="BM278" i="24"/>
  <c r="AV279" i="24"/>
  <c r="CS278" i="24"/>
  <c r="J394" i="23"/>
  <c r="CK277" i="24" l="1"/>
  <c r="CL277" i="24"/>
  <c r="CJ278" i="24"/>
  <c r="CM278" i="24" s="1"/>
  <c r="CS279" i="24"/>
  <c r="AV280" i="24"/>
  <c r="BM279" i="24"/>
  <c r="DM278" i="24"/>
  <c r="DN278" i="24"/>
  <c r="BN279" i="24"/>
  <c r="BB280" i="24"/>
  <c r="BS279" i="24"/>
  <c r="BQ279" i="24"/>
  <c r="CT279" i="24"/>
  <c r="CY279" i="24"/>
  <c r="CW279" i="24"/>
  <c r="DE278" i="24"/>
  <c r="DG278" i="24"/>
  <c r="DF278" i="24"/>
  <c r="DO278" i="24"/>
  <c r="BY279" i="24"/>
  <c r="CA279" i="24" s="1"/>
  <c r="CI279" i="24"/>
  <c r="CD279" i="24"/>
  <c r="CF279" i="24" s="1"/>
  <c r="BO279" i="24"/>
  <c r="DK279" i="24"/>
  <c r="DC279" i="24"/>
  <c r="BE280" i="24"/>
  <c r="J395" i="23"/>
  <c r="CK278" i="24" l="1"/>
  <c r="CL278" i="24"/>
  <c r="CJ279" i="24"/>
  <c r="CM279" i="24" s="1"/>
  <c r="DE279" i="24"/>
  <c r="DF279" i="24"/>
  <c r="DO279" i="24"/>
  <c r="DG279" i="24"/>
  <c r="BS280" i="24"/>
  <c r="CT280" i="24"/>
  <c r="BN280" i="24"/>
  <c r="CW280" i="24"/>
  <c r="CY280" i="24"/>
  <c r="BQ280" i="24"/>
  <c r="BB281" i="24"/>
  <c r="DM279" i="24"/>
  <c r="DN279" i="24"/>
  <c r="CS280" i="24"/>
  <c r="BM280" i="24"/>
  <c r="AV281" i="24"/>
  <c r="DK280" i="24"/>
  <c r="BO280" i="24"/>
  <c r="CD280" i="24"/>
  <c r="CF280" i="24" s="1"/>
  <c r="BE281" i="24"/>
  <c r="BY280" i="24"/>
  <c r="CA280" i="24" s="1"/>
  <c r="CI280" i="24"/>
  <c r="DC280" i="24"/>
  <c r="J396" i="23"/>
  <c r="J397" i="23" s="1"/>
  <c r="J398" i="23" s="1"/>
  <c r="J399" i="23" s="1"/>
  <c r="J400" i="23" s="1"/>
  <c r="J401" i="23" s="1"/>
  <c r="J402" i="23" s="1"/>
  <c r="J403" i="23" s="1"/>
  <c r="J404" i="23" s="1"/>
  <c r="J405" i="23" s="1"/>
  <c r="CL279" i="24" l="1"/>
  <c r="CK279" i="24"/>
  <c r="CJ280" i="24"/>
  <c r="CM280" i="24" s="1"/>
  <c r="DF280" i="24"/>
  <c r="DE280" i="24"/>
  <c r="DO280" i="24"/>
  <c r="DG280" i="24"/>
  <c r="BY281" i="24"/>
  <c r="CA281" i="24" s="1"/>
  <c r="DC281" i="24"/>
  <c r="BE282" i="24"/>
  <c r="DK281" i="24"/>
  <c r="CD281" i="24"/>
  <c r="CF281" i="24" s="1"/>
  <c r="CI281" i="24"/>
  <c r="CJ281" i="24" s="1"/>
  <c r="CK281" i="24" s="1"/>
  <c r="BO281" i="24"/>
  <c r="BQ281" i="24"/>
  <c r="BS281" i="24"/>
  <c r="CY281" i="24"/>
  <c r="BN281" i="24"/>
  <c r="BB282" i="24"/>
  <c r="CT281" i="24"/>
  <c r="CW281" i="24"/>
  <c r="DN280" i="24"/>
  <c r="DM280" i="24"/>
  <c r="BM281" i="24"/>
  <c r="AV282" i="24"/>
  <c r="CS281" i="24"/>
  <c r="J406" i="23"/>
  <c r="J407" i="23" s="1"/>
  <c r="J408" i="23" s="1"/>
  <c r="J409" i="23" s="1"/>
  <c r="J410" i="23" s="1"/>
  <c r="J411" i="23" s="1"/>
  <c r="J412" i="23" s="1"/>
  <c r="J413" i="23" s="1"/>
  <c r="J414" i="23" s="1"/>
  <c r="J415" i="23" s="1"/>
  <c r="J416" i="23" s="1"/>
  <c r="J417" i="23" s="1"/>
  <c r="J418" i="23" s="1"/>
  <c r="J419" i="23" s="1"/>
  <c r="J420" i="23" s="1"/>
  <c r="J421" i="23" s="1"/>
  <c r="J422" i="23" s="1"/>
  <c r="J423" i="23" s="1"/>
  <c r="J424" i="23" s="1"/>
  <c r="J425" i="23" s="1"/>
  <c r="J426" i="23" s="1"/>
  <c r="J427" i="23" s="1"/>
  <c r="J428" i="23" s="1"/>
  <c r="J429" i="23" s="1"/>
  <c r="CL280" i="24" l="1"/>
  <c r="CK280" i="24"/>
  <c r="CM281" i="24"/>
  <c r="CL281" i="24"/>
  <c r="CS282" i="24"/>
  <c r="AV283" i="24"/>
  <c r="BM282" i="24"/>
  <c r="DN281" i="24"/>
  <c r="DM281" i="24"/>
  <c r="BE283" i="24"/>
  <c r="BO282" i="24"/>
  <c r="DK282" i="24"/>
  <c r="BY282" i="24"/>
  <c r="CA282" i="24" s="1"/>
  <c r="CI282" i="24"/>
  <c r="CJ282" i="24" s="1"/>
  <c r="CL282" i="24" s="1"/>
  <c r="CD282" i="24"/>
  <c r="CF282" i="24" s="1"/>
  <c r="DC282" i="24"/>
  <c r="DF281" i="24"/>
  <c r="DE281" i="24"/>
  <c r="DO281" i="24"/>
  <c r="DG281" i="24"/>
  <c r="BN282" i="24"/>
  <c r="BS282" i="24"/>
  <c r="CY282" i="24"/>
  <c r="CW282" i="24"/>
  <c r="CT282" i="24"/>
  <c r="BQ282" i="24"/>
  <c r="BB283" i="24"/>
  <c r="J430" i="23"/>
  <c r="J431" i="23" s="1"/>
  <c r="J432" i="23" s="1"/>
  <c r="J433" i="23" s="1"/>
  <c r="J434" i="23" s="1"/>
  <c r="J435" i="23" s="1"/>
  <c r="J436" i="23" s="1"/>
  <c r="J437" i="23" s="1"/>
  <c r="J438" i="23" s="1"/>
  <c r="J439" i="23" s="1"/>
  <c r="J440" i="23" s="1"/>
  <c r="J441" i="23" s="1"/>
  <c r="J442" i="23" s="1"/>
  <c r="J443" i="23" s="1"/>
  <c r="J444" i="23" s="1"/>
  <c r="J445" i="23" s="1"/>
  <c r="J446" i="23" s="1"/>
  <c r="J447" i="23" s="1"/>
  <c r="J448" i="23" s="1"/>
  <c r="J449" i="23" s="1"/>
  <c r="J450" i="23" s="1"/>
  <c r="J451" i="23" s="1"/>
  <c r="J452" i="23" s="1"/>
  <c r="J453" i="23" s="1"/>
  <c r="J454" i="23" s="1"/>
  <c r="J455" i="23" s="1"/>
  <c r="J456" i="23" s="1"/>
  <c r="J457" i="23" s="1"/>
  <c r="CM282" i="24" l="1"/>
  <c r="CK282" i="24"/>
  <c r="BS283" i="24"/>
  <c r="BB284" i="24"/>
  <c r="BN283" i="24"/>
  <c r="BQ283" i="24"/>
  <c r="CT283" i="24"/>
  <c r="CW283" i="24"/>
  <c r="CY283" i="24"/>
  <c r="DN282" i="24"/>
  <c r="DM282" i="24"/>
  <c r="BY283" i="24"/>
  <c r="CA283" i="24" s="1"/>
  <c r="BO283" i="24"/>
  <c r="BE284" i="24"/>
  <c r="CI283" i="24"/>
  <c r="CJ283" i="24" s="1"/>
  <c r="DC283" i="24"/>
  <c r="DK283" i="24"/>
  <c r="CD283" i="24"/>
  <c r="CF283" i="24" s="1"/>
  <c r="DG282" i="24"/>
  <c r="DO282" i="24"/>
  <c r="DF282" i="24"/>
  <c r="DE282" i="24"/>
  <c r="AV284" i="24"/>
  <c r="BM283" i="24"/>
  <c r="CS283" i="24"/>
  <c r="A66" i="23"/>
  <c r="I70" i="23"/>
  <c r="J64" i="23"/>
  <c r="P64" i="23"/>
  <c r="H64" i="23"/>
  <c r="A64" i="23"/>
  <c r="I64" i="23"/>
  <c r="A65" i="23"/>
  <c r="J65" i="23"/>
  <c r="H65" i="23"/>
  <c r="I65" i="23"/>
  <c r="P65" i="23"/>
  <c r="I121" i="23"/>
  <c r="I66" i="23"/>
  <c r="J66" i="23"/>
  <c r="H66" i="23"/>
  <c r="P66" i="23"/>
  <c r="A67" i="23"/>
  <c r="H67" i="23"/>
  <c r="J67" i="23"/>
  <c r="I67" i="23"/>
  <c r="P67" i="23"/>
  <c r="P70" i="23"/>
  <c r="I68" i="23"/>
  <c r="A70" i="23"/>
  <c r="J68" i="23"/>
  <c r="J70" i="23"/>
  <c r="A69" i="23"/>
  <c r="P69" i="23"/>
  <c r="P68" i="23"/>
  <c r="H69" i="23"/>
  <c r="H68" i="23"/>
  <c r="J69" i="23"/>
  <c r="H70" i="23"/>
  <c r="P71" i="23"/>
  <c r="A68" i="23"/>
  <c r="H77" i="23"/>
  <c r="A71" i="23"/>
  <c r="A78" i="23"/>
  <c r="A79" i="23"/>
  <c r="P85" i="23"/>
  <c r="H86" i="23"/>
  <c r="J73" i="23"/>
  <c r="J75" i="23"/>
  <c r="I75" i="23"/>
  <c r="P75" i="23"/>
  <c r="A75" i="23"/>
  <c r="H82" i="23"/>
  <c r="H75" i="23"/>
  <c r="I85" i="23"/>
  <c r="A80" i="23"/>
  <c r="I72" i="23"/>
  <c r="J79" i="23"/>
  <c r="I74" i="23"/>
  <c r="I76" i="23"/>
  <c r="P88" i="23"/>
  <c r="P82" i="23"/>
  <c r="P79" i="23"/>
  <c r="J88" i="23"/>
  <c r="A85" i="23"/>
  <c r="I69" i="23"/>
  <c r="H78" i="23"/>
  <c r="J77" i="23"/>
  <c r="P89" i="23"/>
  <c r="P90" i="23"/>
  <c r="H88" i="23"/>
  <c r="H84" i="23"/>
  <c r="A83" i="23"/>
  <c r="H72" i="23"/>
  <c r="J76" i="23"/>
  <c r="J90" i="23"/>
  <c r="P78" i="23"/>
  <c r="P74" i="23"/>
  <c r="P77" i="23"/>
  <c r="H74" i="23"/>
  <c r="H80" i="23"/>
  <c r="J78" i="23"/>
  <c r="A76" i="23"/>
  <c r="A87" i="23"/>
  <c r="P81" i="23"/>
  <c r="A90" i="23"/>
  <c r="H90" i="23"/>
  <c r="I87" i="23"/>
  <c r="J82" i="23"/>
  <c r="I84" i="23"/>
  <c r="I83" i="23"/>
  <c r="A74" i="23"/>
  <c r="P72" i="23"/>
  <c r="J80" i="23"/>
  <c r="I81" i="23"/>
  <c r="J71" i="23"/>
  <c r="J84" i="23"/>
  <c r="I73" i="23"/>
  <c r="J87" i="23"/>
  <c r="I79" i="23"/>
  <c r="J74" i="23"/>
  <c r="I77" i="23"/>
  <c r="J72" i="23"/>
  <c r="A82" i="23"/>
  <c r="I82" i="23"/>
  <c r="H83" i="23"/>
  <c r="P80" i="23"/>
  <c r="I88" i="23"/>
  <c r="A77" i="23"/>
  <c r="H76" i="23"/>
  <c r="A73" i="23"/>
  <c r="J85" i="23"/>
  <c r="A86" i="23"/>
  <c r="J89" i="23"/>
  <c r="J86" i="23"/>
  <c r="P83" i="23"/>
  <c r="H81" i="23"/>
  <c r="I90" i="23"/>
  <c r="I78" i="23"/>
  <c r="J83" i="23"/>
  <c r="A72" i="23"/>
  <c r="H71" i="23"/>
  <c r="I86" i="23"/>
  <c r="H85" i="23"/>
  <c r="A88" i="23"/>
  <c r="I89" i="23"/>
  <c r="H73" i="23"/>
  <c r="P86" i="23"/>
  <c r="I80" i="23"/>
  <c r="H79" i="23"/>
  <c r="P73" i="23"/>
  <c r="A84" i="23"/>
  <c r="A89" i="23"/>
  <c r="P87" i="23"/>
  <c r="P76" i="23"/>
  <c r="H87" i="23"/>
  <c r="H89" i="23"/>
  <c r="P84" i="23"/>
  <c r="I71" i="23"/>
  <c r="J81" i="23"/>
  <c r="A81" i="23"/>
  <c r="H94" i="23"/>
  <c r="I92" i="23"/>
  <c r="J92" i="23"/>
  <c r="J91" i="23"/>
  <c r="H91" i="23"/>
  <c r="I91" i="23"/>
  <c r="P91" i="23"/>
  <c r="A91" i="23"/>
  <c r="J103" i="23"/>
  <c r="H134" i="23"/>
  <c r="H135" i="23"/>
  <c r="I139" i="23"/>
  <c r="J130" i="23"/>
  <c r="H99" i="23"/>
  <c r="I141" i="23"/>
  <c r="P134" i="23"/>
  <c r="J137" i="23"/>
  <c r="P104" i="23"/>
  <c r="I94" i="23"/>
  <c r="A130" i="23"/>
  <c r="P142" i="23"/>
  <c r="P111" i="23"/>
  <c r="I138" i="23"/>
  <c r="J134" i="23"/>
  <c r="A101" i="23"/>
  <c r="I99" i="23"/>
  <c r="H126" i="23"/>
  <c r="J115" i="23"/>
  <c r="A144" i="23"/>
  <c r="H93" i="23"/>
  <c r="H103" i="23"/>
  <c r="J104" i="23"/>
  <c r="A119" i="23"/>
  <c r="I124" i="23"/>
  <c r="H128" i="23"/>
  <c r="H100" i="23"/>
  <c r="H133" i="23"/>
  <c r="A139" i="23"/>
  <c r="P114" i="23"/>
  <c r="P100" i="23"/>
  <c r="I93" i="23"/>
  <c r="J109" i="23"/>
  <c r="J118" i="23"/>
  <c r="I114" i="23"/>
  <c r="I122" i="23"/>
  <c r="I111" i="23"/>
  <c r="J102" i="23"/>
  <c r="P120" i="23"/>
  <c r="J135" i="23"/>
  <c r="I130" i="23"/>
  <c r="H136" i="23"/>
  <c r="I116" i="23"/>
  <c r="P138" i="23"/>
  <c r="A133" i="23"/>
  <c r="H98" i="23"/>
  <c r="J111" i="23"/>
  <c r="H106" i="23"/>
  <c r="P103" i="23"/>
  <c r="J113" i="23"/>
  <c r="J108" i="23"/>
  <c r="P141" i="23"/>
  <c r="J107" i="23"/>
  <c r="I110" i="23"/>
  <c r="I103" i="23"/>
  <c r="H96" i="23"/>
  <c r="P107" i="23"/>
  <c r="H97" i="23"/>
  <c r="P132" i="23"/>
  <c r="J142" i="23"/>
  <c r="H119" i="23"/>
  <c r="I134" i="23"/>
  <c r="J124" i="23"/>
  <c r="J100" i="23"/>
  <c r="I133" i="23"/>
  <c r="I135" i="23"/>
  <c r="A134" i="23"/>
  <c r="P121" i="23"/>
  <c r="H131" i="23"/>
  <c r="I101" i="23"/>
  <c r="H140" i="23"/>
  <c r="H105" i="23"/>
  <c r="H116" i="23"/>
  <c r="P136" i="23"/>
  <c r="J133" i="23"/>
  <c r="H117" i="23"/>
  <c r="P102" i="23"/>
  <c r="A125" i="23"/>
  <c r="A92" i="23"/>
  <c r="H127" i="23"/>
  <c r="P144" i="23"/>
  <c r="A141" i="23"/>
  <c r="I107" i="23"/>
  <c r="A132" i="23"/>
  <c r="H107" i="23"/>
  <c r="I112" i="23"/>
  <c r="P128" i="23"/>
  <c r="J140" i="23"/>
  <c r="P99" i="23"/>
  <c r="A116" i="23"/>
  <c r="A126" i="23"/>
  <c r="J132" i="23"/>
  <c r="J125" i="23"/>
  <c r="I118" i="23"/>
  <c r="P96" i="23"/>
  <c r="I142" i="23"/>
  <c r="P125" i="23"/>
  <c r="J120" i="23"/>
  <c r="I119" i="23"/>
  <c r="H108" i="23"/>
  <c r="A114" i="23"/>
  <c r="P112" i="23"/>
  <c r="I115" i="23"/>
  <c r="H114" i="23"/>
  <c r="H132" i="23"/>
  <c r="I125" i="23"/>
  <c r="P109" i="23"/>
  <c r="I97" i="23"/>
  <c r="P130" i="23"/>
  <c r="P105" i="23"/>
  <c r="P106" i="23"/>
  <c r="J141" i="23"/>
  <c r="I128" i="23"/>
  <c r="H111" i="23"/>
  <c r="A109" i="23"/>
  <c r="A103" i="23"/>
  <c r="P140" i="23"/>
  <c r="I132" i="23"/>
  <c r="H115" i="23"/>
  <c r="H141" i="23"/>
  <c r="J144" i="23"/>
  <c r="J93" i="23"/>
  <c r="A138" i="23"/>
  <c r="J126" i="23"/>
  <c r="H143" i="23"/>
  <c r="J112" i="23"/>
  <c r="I126" i="23"/>
  <c r="P123" i="23"/>
  <c r="A117" i="23"/>
  <c r="A135" i="23"/>
  <c r="J97" i="23"/>
  <c r="H124" i="23"/>
  <c r="A96" i="23"/>
  <c r="H110" i="23"/>
  <c r="H125" i="23"/>
  <c r="J105" i="23"/>
  <c r="H118" i="23"/>
  <c r="A97" i="23"/>
  <c r="J98" i="23"/>
  <c r="J110" i="23"/>
  <c r="P135" i="23"/>
  <c r="P116" i="23"/>
  <c r="H139" i="23"/>
  <c r="P113" i="23"/>
  <c r="H102" i="23"/>
  <c r="A142" i="23"/>
  <c r="I108" i="23"/>
  <c r="I117" i="23"/>
  <c r="P133" i="23"/>
  <c r="J123" i="23"/>
  <c r="A121" i="23"/>
  <c r="A120" i="23"/>
  <c r="A118" i="23"/>
  <c r="A143" i="23"/>
  <c r="A137" i="23"/>
  <c r="J138" i="23"/>
  <c r="A98" i="23"/>
  <c r="I123" i="23"/>
  <c r="A140" i="23"/>
  <c r="H138" i="23"/>
  <c r="A106" i="23"/>
  <c r="J131" i="23"/>
  <c r="I95" i="23"/>
  <c r="I131" i="23"/>
  <c r="J128" i="23"/>
  <c r="J129" i="23"/>
  <c r="P101" i="23"/>
  <c r="H122" i="23"/>
  <c r="A111" i="23"/>
  <c r="P118" i="23"/>
  <c r="A122" i="23"/>
  <c r="J94" i="23"/>
  <c r="J96" i="23"/>
  <c r="A136" i="23"/>
  <c r="A131" i="23"/>
  <c r="J116" i="23"/>
  <c r="A112" i="23"/>
  <c r="I136" i="23"/>
  <c r="I137" i="23"/>
  <c r="J127" i="23"/>
  <c r="H129" i="23"/>
  <c r="J101" i="23"/>
  <c r="H95" i="23"/>
  <c r="P93" i="23"/>
  <c r="A107" i="23"/>
  <c r="I140" i="23"/>
  <c r="J99" i="23"/>
  <c r="P127" i="23"/>
  <c r="I143" i="23"/>
  <c r="I144" i="23"/>
  <c r="J143" i="23"/>
  <c r="A110" i="23"/>
  <c r="J136" i="23"/>
  <c r="A127" i="23"/>
  <c r="J121" i="23"/>
  <c r="H101" i="23"/>
  <c r="A128" i="23"/>
  <c r="A100" i="23"/>
  <c r="P97" i="23"/>
  <c r="I102" i="23"/>
  <c r="A115" i="23"/>
  <c r="P139" i="23"/>
  <c r="P126" i="23"/>
  <c r="H113" i="23"/>
  <c r="P115" i="23"/>
  <c r="J117" i="23"/>
  <c r="I105" i="23"/>
  <c r="A104" i="23"/>
  <c r="P108" i="23"/>
  <c r="H121" i="23"/>
  <c r="P117" i="23"/>
  <c r="I100" i="23"/>
  <c r="J106" i="23"/>
  <c r="P95" i="23"/>
  <c r="I120" i="23"/>
  <c r="I106" i="23"/>
  <c r="P124" i="23"/>
  <c r="I113" i="23"/>
  <c r="I129" i="23"/>
  <c r="P131" i="23"/>
  <c r="I98" i="23"/>
  <c r="A94" i="23"/>
  <c r="H104" i="23"/>
  <c r="P94" i="23"/>
  <c r="A95" i="23"/>
  <c r="A105" i="23"/>
  <c r="H92" i="23"/>
  <c r="I127" i="23"/>
  <c r="H130" i="23"/>
  <c r="A113" i="23"/>
  <c r="A129" i="23"/>
  <c r="I96" i="23"/>
  <c r="A123" i="23"/>
  <c r="P98" i="23"/>
  <c r="P119" i="23"/>
  <c r="H120" i="23"/>
  <c r="I104" i="23"/>
  <c r="I109" i="23"/>
  <c r="P110" i="23"/>
  <c r="H109" i="23"/>
  <c r="P143" i="23"/>
  <c r="H137" i="23"/>
  <c r="J95" i="23"/>
  <c r="A102" i="23"/>
  <c r="P129" i="23"/>
  <c r="J122" i="23"/>
  <c r="A93" i="23"/>
  <c r="H144" i="23"/>
  <c r="J114" i="23"/>
  <c r="H142" i="23"/>
  <c r="H112" i="23"/>
  <c r="A124" i="23"/>
  <c r="J139" i="23"/>
  <c r="J119" i="23"/>
  <c r="A108" i="23"/>
  <c r="P137" i="23"/>
  <c r="P122" i="23"/>
  <c r="P92" i="23"/>
  <c r="A99" i="23"/>
  <c r="H123" i="23"/>
  <c r="CM283" i="24"/>
  <c r="CL283" i="24" l="1"/>
  <c r="CK283" i="24"/>
  <c r="DM283" i="24"/>
  <c r="DN283" i="24"/>
  <c r="DO283" i="24"/>
  <c r="DF283" i="24"/>
  <c r="DG283" i="24"/>
  <c r="DE283" i="24"/>
  <c r="BM284" i="24"/>
  <c r="AV285" i="24"/>
  <c r="CS284" i="24"/>
  <c r="CI284" i="24"/>
  <c r="CJ284" i="24" s="1"/>
  <c r="CL284" i="24" s="1"/>
  <c r="DK284" i="24"/>
  <c r="DC284" i="24"/>
  <c r="BE285" i="24"/>
  <c r="CD284" i="24"/>
  <c r="CF284" i="24" s="1"/>
  <c r="BY284" i="24"/>
  <c r="CA284" i="24" s="1"/>
  <c r="BO284" i="24"/>
  <c r="BN284" i="24"/>
  <c r="BS284" i="24"/>
  <c r="BQ284" i="24"/>
  <c r="BB285" i="24"/>
  <c r="CW284" i="24"/>
  <c r="CY284" i="24"/>
  <c r="CT284" i="24"/>
  <c r="CM284" i="24" l="1"/>
  <c r="CK284" i="24"/>
  <c r="CS285" i="24"/>
  <c r="BM285" i="24"/>
  <c r="AV286" i="24"/>
  <c r="BN285" i="24"/>
  <c r="CT285" i="24"/>
  <c r="BS285" i="24"/>
  <c r="CY285" i="24"/>
  <c r="CW285" i="24"/>
  <c r="BB286" i="24"/>
  <c r="BQ285" i="24"/>
  <c r="CD285" i="24"/>
  <c r="CF285" i="24" s="1"/>
  <c r="CI285" i="24"/>
  <c r="DC285" i="24"/>
  <c r="BY285" i="24"/>
  <c r="CA285" i="24" s="1"/>
  <c r="DK285" i="24"/>
  <c r="BE286" i="24"/>
  <c r="BO285" i="24"/>
  <c r="DO284" i="24"/>
  <c r="DG284" i="24"/>
  <c r="DE284" i="24"/>
  <c r="DF284" i="24"/>
  <c r="DN284" i="24"/>
  <c r="DM284" i="24"/>
  <c r="CJ285" i="24" l="1"/>
  <c r="CL285" i="24" s="1"/>
  <c r="DK286" i="24"/>
  <c r="BE287" i="24"/>
  <c r="DC286" i="24"/>
  <c r="CD286" i="24"/>
  <c r="CF286" i="24" s="1"/>
  <c r="CI286" i="24"/>
  <c r="BO286" i="24"/>
  <c r="BY286" i="24"/>
  <c r="CA286" i="24" s="1"/>
  <c r="DO285" i="24"/>
  <c r="DE285" i="24"/>
  <c r="DF285" i="24"/>
  <c r="DG285" i="24"/>
  <c r="DN285" i="24"/>
  <c r="DM285" i="24"/>
  <c r="CS286" i="24"/>
  <c r="BM286" i="24"/>
  <c r="AV287" i="24"/>
  <c r="BS286" i="24"/>
  <c r="BN286" i="24"/>
  <c r="CY286" i="24"/>
  <c r="CW286" i="24"/>
  <c r="BQ286" i="24"/>
  <c r="CT286" i="24"/>
  <c r="BB287" i="24"/>
  <c r="CK285" i="24" l="1"/>
  <c r="CM285" i="24"/>
  <c r="CJ286" i="24"/>
  <c r="CM286" i="24" s="1"/>
  <c r="BN287" i="24"/>
  <c r="BQ287" i="24"/>
  <c r="BS287" i="24"/>
  <c r="BB288" i="24"/>
  <c r="CY287" i="24"/>
  <c r="CT287" i="24"/>
  <c r="CW287" i="24"/>
  <c r="DE286" i="24"/>
  <c r="DG286" i="24"/>
  <c r="DF286" i="24"/>
  <c r="DO286" i="24"/>
  <c r="CI287" i="24"/>
  <c r="BO287" i="24"/>
  <c r="BY287" i="24"/>
  <c r="CA287" i="24" s="1"/>
  <c r="CD287" i="24"/>
  <c r="CF287" i="24" s="1"/>
  <c r="BE288" i="24"/>
  <c r="DC287" i="24"/>
  <c r="DK287" i="24"/>
  <c r="BM287" i="24"/>
  <c r="AV288" i="24"/>
  <c r="CS287" i="24"/>
  <c r="DN286" i="24"/>
  <c r="DM286" i="24"/>
  <c r="CK286" i="24" l="1"/>
  <c r="CJ287" i="24"/>
  <c r="CK287" i="24" s="1"/>
  <c r="CL286" i="24"/>
  <c r="BN288" i="24"/>
  <c r="CY288" i="24"/>
  <c r="BS288" i="24"/>
  <c r="CW288" i="24"/>
  <c r="CT288" i="24"/>
  <c r="BQ288" i="24"/>
  <c r="BB289" i="24"/>
  <c r="AV289" i="24"/>
  <c r="CS288" i="24"/>
  <c r="BM288" i="24"/>
  <c r="DM287" i="24"/>
  <c r="DN287" i="24"/>
  <c r="DO287" i="24"/>
  <c r="DG287" i="24"/>
  <c r="DF287" i="24"/>
  <c r="DE287" i="24"/>
  <c r="CI288" i="24"/>
  <c r="BO288" i="24"/>
  <c r="DC288" i="24"/>
  <c r="BY288" i="24"/>
  <c r="CA288" i="24" s="1"/>
  <c r="CD288" i="24"/>
  <c r="CF288" i="24" s="1"/>
  <c r="BE289" i="24"/>
  <c r="DK288" i="24"/>
  <c r="CL287" i="24" l="1"/>
  <c r="CM287" i="24"/>
  <c r="CJ288" i="24"/>
  <c r="CL288" i="24" s="1"/>
  <c r="DF288" i="24"/>
  <c r="DG288" i="24"/>
  <c r="DE288" i="24"/>
  <c r="DO288" i="24"/>
  <c r="DN288" i="24"/>
  <c r="DM288" i="24"/>
  <c r="CS289" i="24"/>
  <c r="AV290" i="24"/>
  <c r="BM289" i="24"/>
  <c r="BY289" i="24"/>
  <c r="CA289" i="24" s="1"/>
  <c r="BO289" i="24"/>
  <c r="CD289" i="24"/>
  <c r="CF289" i="24" s="1"/>
  <c r="CI289" i="24"/>
  <c r="DK289" i="24"/>
  <c r="DC289" i="24"/>
  <c r="BE290" i="24"/>
  <c r="BS289" i="24"/>
  <c r="BB290" i="24"/>
  <c r="BN289" i="24"/>
  <c r="BQ289" i="24"/>
  <c r="CY289" i="24"/>
  <c r="CW289" i="24"/>
  <c r="CT289" i="24"/>
  <c r="CK288" i="24" l="1"/>
  <c r="CM288" i="24"/>
  <c r="CJ289" i="24"/>
  <c r="CL289" i="24" s="1"/>
  <c r="DE289" i="24"/>
  <c r="DF289" i="24"/>
  <c r="DO289" i="24"/>
  <c r="DG289" i="24"/>
  <c r="AV291" i="24"/>
  <c r="CS290" i="24"/>
  <c r="BM290" i="24"/>
  <c r="DN289" i="24"/>
  <c r="DM289" i="24"/>
  <c r="BQ290" i="24"/>
  <c r="CT290" i="24"/>
  <c r="CW290" i="24"/>
  <c r="BS290" i="24"/>
  <c r="BN290" i="24"/>
  <c r="CY290" i="24"/>
  <c r="BB291" i="24"/>
  <c r="CD290" i="24"/>
  <c r="CF290" i="24" s="1"/>
  <c r="BO290" i="24"/>
  <c r="DK290" i="24"/>
  <c r="BY290" i="24"/>
  <c r="CA290" i="24" s="1"/>
  <c r="BE291" i="24"/>
  <c r="DC290" i="24"/>
  <c r="CI290" i="24"/>
  <c r="CK289" i="24" l="1"/>
  <c r="CM289" i="24"/>
  <c r="CJ290" i="24"/>
  <c r="BS291" i="24"/>
  <c r="CY291" i="24"/>
  <c r="BQ291" i="24"/>
  <c r="BN291" i="24"/>
  <c r="CW291" i="24"/>
  <c r="CT291" i="24"/>
  <c r="BB292" i="24"/>
  <c r="BM291" i="24"/>
  <c r="CS291" i="24"/>
  <c r="AV292" i="24"/>
  <c r="DM290" i="24"/>
  <c r="DN290" i="24"/>
  <c r="BY291" i="24"/>
  <c r="CA291" i="24" s="1"/>
  <c r="BE292" i="24"/>
  <c r="CI291" i="24"/>
  <c r="DK291" i="24"/>
  <c r="DC291" i="24"/>
  <c r="BO291" i="24"/>
  <c r="CD291" i="24"/>
  <c r="CF291" i="24" s="1"/>
  <c r="DG290" i="24"/>
  <c r="DO290" i="24"/>
  <c r="DE290" i="24"/>
  <c r="DF290" i="24"/>
  <c r="CM290" i="24" l="1"/>
  <c r="CL290" i="24"/>
  <c r="CJ291" i="24"/>
  <c r="CM291" i="24" s="1"/>
  <c r="CK290" i="24"/>
  <c r="DM291" i="24"/>
  <c r="DN291" i="24"/>
  <c r="CW292" i="24"/>
  <c r="BS292" i="24"/>
  <c r="CY292" i="24"/>
  <c r="BN292" i="24"/>
  <c r="CT292" i="24"/>
  <c r="BB293" i="24"/>
  <c r="BQ292" i="24"/>
  <c r="CD292" i="24"/>
  <c r="CF292" i="24" s="1"/>
  <c r="BY292" i="24"/>
  <c r="CA292" i="24" s="1"/>
  <c r="BO292" i="24"/>
  <c r="DK292" i="24"/>
  <c r="DC292" i="24"/>
  <c r="BE293" i="24"/>
  <c r="CI292" i="24"/>
  <c r="BM292" i="24"/>
  <c r="AV293" i="24"/>
  <c r="CS292" i="24"/>
  <c r="DG291" i="24"/>
  <c r="DE291" i="24"/>
  <c r="DO291" i="24"/>
  <c r="DF291" i="24"/>
  <c r="CL291" i="24" l="1"/>
  <c r="CK291" i="24"/>
  <c r="CJ292" i="24"/>
  <c r="CK292" i="24" s="1"/>
  <c r="BO293" i="24"/>
  <c r="BY293" i="24"/>
  <c r="CA293" i="24" s="1"/>
  <c r="DK293" i="24"/>
  <c r="CD293" i="24"/>
  <c r="CF293" i="24" s="1"/>
  <c r="BE294" i="24"/>
  <c r="DC293" i="24"/>
  <c r="CI293" i="24"/>
  <c r="DG292" i="24"/>
  <c r="DF292" i="24"/>
  <c r="DO292" i="24"/>
  <c r="DE292" i="24"/>
  <c r="AV294" i="24"/>
  <c r="CS293" i="24"/>
  <c r="BM293" i="24"/>
  <c r="DM292" i="24"/>
  <c r="DN292" i="24"/>
  <c r="BS293" i="24"/>
  <c r="CW293" i="24"/>
  <c r="BQ293" i="24"/>
  <c r="BN293" i="24"/>
  <c r="CT293" i="24"/>
  <c r="CY293" i="24"/>
  <c r="BB294" i="24"/>
  <c r="CL292" i="24" l="1"/>
  <c r="CJ293" i="24"/>
  <c r="CM293" i="24" s="1"/>
  <c r="CM292" i="24"/>
  <c r="CT294" i="24"/>
  <c r="BQ294" i="24"/>
  <c r="CY294" i="24"/>
  <c r="BN294" i="24"/>
  <c r="CW294" i="24"/>
  <c r="BS294" i="24"/>
  <c r="BB295" i="24"/>
  <c r="BB263" i="25" s="1"/>
  <c r="BB264" i="25" s="1"/>
  <c r="DO293" i="24"/>
  <c r="DF293" i="24"/>
  <c r="DG293" i="24"/>
  <c r="DE293" i="24"/>
  <c r="BO294" i="24"/>
  <c r="DK294" i="24"/>
  <c r="CI294" i="24"/>
  <c r="DC294" i="24"/>
  <c r="BY294" i="24"/>
  <c r="CA294" i="24" s="1"/>
  <c r="CA295" i="24" s="1"/>
  <c r="CA298" i="24" s="1"/>
  <c r="CD294" i="24"/>
  <c r="CF294" i="24" s="1"/>
  <c r="CF295" i="24" s="1"/>
  <c r="CF298" i="24" s="1"/>
  <c r="BE295" i="24"/>
  <c r="BE263" i="25" s="1"/>
  <c r="BE264" i="25" s="1"/>
  <c r="AV295" i="24"/>
  <c r="AV263" i="25" s="1"/>
  <c r="AV264" i="25" s="1"/>
  <c r="BM294" i="24"/>
  <c r="CS294" i="24"/>
  <c r="DN293" i="24"/>
  <c r="DM293" i="24"/>
  <c r="I378" i="24" l="1"/>
  <c r="M379" i="24" s="1"/>
  <c r="CK293" i="24"/>
  <c r="CL293" i="24"/>
  <c r="CI295" i="24"/>
  <c r="CI298" i="24" s="1"/>
  <c r="CJ294" i="24"/>
  <c r="CJ295" i="24" s="1"/>
  <c r="DG294" i="24"/>
  <c r="DG295" i="24" s="1"/>
  <c r="DF294" i="24"/>
  <c r="DF295" i="24" s="1"/>
  <c r="DO294" i="24"/>
  <c r="DO295" i="24" s="1"/>
  <c r="DE294" i="24"/>
  <c r="DE295" i="24" s="1"/>
  <c r="BN264" i="25"/>
  <c r="CY264" i="25"/>
  <c r="BB265" i="25"/>
  <c r="BS264" i="25"/>
  <c r="CW264" i="25"/>
  <c r="CT264" i="25"/>
  <c r="BQ264" i="25"/>
  <c r="DM294" i="24"/>
  <c r="DM295" i="24" s="1"/>
  <c r="DN294" i="24"/>
  <c r="DN295" i="24" s="1"/>
  <c r="BM264" i="25"/>
  <c r="AV265" i="25"/>
  <c r="CS264" i="25"/>
  <c r="CD264" i="25"/>
  <c r="CF264" i="25" s="1"/>
  <c r="BO264" i="25"/>
  <c r="CI264" i="25"/>
  <c r="DC264" i="25"/>
  <c r="BY264" i="25"/>
  <c r="CA264" i="25" s="1"/>
  <c r="BE265" i="25"/>
  <c r="DK264" i="25"/>
  <c r="J155" i="24" l="1"/>
  <c r="H152" i="24"/>
  <c r="I35" i="18"/>
  <c r="H380" i="24"/>
  <c r="I380" i="24" s="1"/>
  <c r="I37" i="18" s="1"/>
  <c r="CL294" i="24"/>
  <c r="CL295" i="24" s="1"/>
  <c r="CM294" i="24"/>
  <c r="CM295" i="24" s="1"/>
  <c r="CJ264" i="25"/>
  <c r="CM264" i="25" s="1"/>
  <c r="CK294" i="24"/>
  <c r="CK295" i="24" s="1"/>
  <c r="DF264" i="25"/>
  <c r="DE264" i="25"/>
  <c r="DO264" i="25"/>
  <c r="DG264" i="25"/>
  <c r="BN265" i="25"/>
  <c r="BS265" i="25"/>
  <c r="BQ265" i="25"/>
  <c r="BB266" i="25"/>
  <c r="CT265" i="25"/>
  <c r="CY265" i="25"/>
  <c r="CW265" i="25"/>
  <c r="DN264" i="25"/>
  <c r="DM264" i="25"/>
  <c r="DC265" i="25"/>
  <c r="BY265" i="25"/>
  <c r="CA265" i="25" s="1"/>
  <c r="BO265" i="25"/>
  <c r="BE266" i="25"/>
  <c r="CD265" i="25"/>
  <c r="CF265" i="25" s="1"/>
  <c r="CI265" i="25"/>
  <c r="DK265" i="25"/>
  <c r="BM265" i="25"/>
  <c r="CS265" i="25"/>
  <c r="AV266" i="25"/>
  <c r="U18" i="9" l="1"/>
  <c r="H375" i="24" s="1"/>
  <c r="I375" i="24" s="1"/>
  <c r="P404" i="24" s="1"/>
  <c r="CL264" i="25"/>
  <c r="CJ265" i="25"/>
  <c r="CM265" i="25" s="1"/>
  <c r="CK264" i="25"/>
  <c r="BN266" i="25"/>
  <c r="BS266" i="25"/>
  <c r="CT266" i="25"/>
  <c r="BQ266" i="25"/>
  <c r="CW266" i="25"/>
  <c r="CY266" i="25"/>
  <c r="BB267" i="25"/>
  <c r="BE267" i="25"/>
  <c r="DC266" i="25"/>
  <c r="BO266" i="25"/>
  <c r="BY266" i="25"/>
  <c r="CA266" i="25" s="1"/>
  <c r="CD266" i="25"/>
  <c r="CF266" i="25" s="1"/>
  <c r="CI266" i="25"/>
  <c r="DK266" i="25"/>
  <c r="A162" i="24"/>
  <c r="A157" i="24"/>
  <c r="A164" i="24"/>
  <c r="A165" i="24"/>
  <c r="BM266" i="25"/>
  <c r="AV267" i="25"/>
  <c r="CS266" i="25"/>
  <c r="DE265" i="25"/>
  <c r="DF265" i="25"/>
  <c r="DO265" i="25"/>
  <c r="DG265" i="25"/>
  <c r="DM265" i="25"/>
  <c r="DN265" i="25"/>
  <c r="I404" i="24" l="1"/>
  <c r="J375" i="24"/>
  <c r="J376" i="24" s="1"/>
  <c r="J377" i="24" s="1"/>
  <c r="J378" i="24" s="1"/>
  <c r="J379" i="24" s="1"/>
  <c r="J380" i="24" s="1"/>
  <c r="J381" i="24" s="1"/>
  <c r="J382" i="24" s="1"/>
  <c r="J383" i="24" s="1"/>
  <c r="I32" i="18"/>
  <c r="CL265" i="25"/>
  <c r="CJ266" i="25"/>
  <c r="CK265" i="25"/>
  <c r="F159" i="24"/>
  <c r="A159" i="24"/>
  <c r="A166" i="24"/>
  <c r="F165" i="24"/>
  <c r="F167" i="24" s="1"/>
  <c r="BN267" i="25"/>
  <c r="BB268" i="25"/>
  <c r="CW267" i="25"/>
  <c r="BQ267" i="25"/>
  <c r="CY267" i="25"/>
  <c r="CT267" i="25"/>
  <c r="BS267" i="25"/>
  <c r="F160" i="24"/>
  <c r="A160" i="24"/>
  <c r="A158" i="24"/>
  <c r="F158" i="24"/>
  <c r="F163" i="24"/>
  <c r="A163" i="24"/>
  <c r="A161" i="24"/>
  <c r="DG266" i="25"/>
  <c r="DE266" i="25"/>
  <c r="DO266" i="25"/>
  <c r="DF266" i="25"/>
  <c r="F169" i="24"/>
  <c r="A177" i="24"/>
  <c r="A169" i="24"/>
  <c r="A175" i="24"/>
  <c r="A172" i="24"/>
  <c r="BO267" i="25"/>
  <c r="BY267" i="25"/>
  <c r="CA267" i="25" s="1"/>
  <c r="CD267" i="25"/>
  <c r="CF267" i="25" s="1"/>
  <c r="CI267" i="25"/>
  <c r="DC267" i="25"/>
  <c r="BE268" i="25"/>
  <c r="DK267" i="25"/>
  <c r="I61" i="18"/>
  <c r="H432" i="24"/>
  <c r="I432" i="24" s="1"/>
  <c r="DN266" i="25"/>
  <c r="DM266" i="25"/>
  <c r="CS267" i="25"/>
  <c r="AV268" i="25"/>
  <c r="BM267" i="25"/>
  <c r="A167" i="24"/>
  <c r="P412" i="24"/>
  <c r="H411" i="24"/>
  <c r="I411" i="24" s="1"/>
  <c r="I68" i="18" s="1"/>
  <c r="P411" i="24"/>
  <c r="P407" i="24"/>
  <c r="H409" i="24"/>
  <c r="I409" i="24" s="1"/>
  <c r="I66" i="18" s="1"/>
  <c r="H408" i="24"/>
  <c r="I408" i="24" s="1"/>
  <c r="I65" i="18" s="1"/>
  <c r="H407" i="24"/>
  <c r="I407" i="24" s="1"/>
  <c r="H412" i="24"/>
  <c r="I412" i="24" s="1"/>
  <c r="I69" i="18" s="1"/>
  <c r="P408" i="24"/>
  <c r="P409" i="24"/>
  <c r="P413" i="24"/>
  <c r="CJ267" i="25" l="1"/>
  <c r="CL267" i="25" s="1"/>
  <c r="CL266" i="25"/>
  <c r="CK266" i="25"/>
  <c r="CM266" i="25"/>
  <c r="P427" i="24"/>
  <c r="P428" i="24" s="1"/>
  <c r="F179" i="24"/>
  <c r="CT268" i="25"/>
  <c r="CW268" i="25"/>
  <c r="BN268" i="25"/>
  <c r="BS268" i="25"/>
  <c r="BB269" i="25"/>
  <c r="BQ268" i="25"/>
  <c r="CY268" i="25"/>
  <c r="M435" i="24"/>
  <c r="I89" i="18"/>
  <c r="I64" i="18"/>
  <c r="I428" i="24"/>
  <c r="A178" i="24"/>
  <c r="F176" i="24"/>
  <c r="F178" i="24" s="1"/>
  <c r="A176" i="24"/>
  <c r="DN267" i="25"/>
  <c r="DM267" i="25"/>
  <c r="F171" i="24"/>
  <c r="A171" i="24"/>
  <c r="CS268" i="25"/>
  <c r="BM268" i="25"/>
  <c r="AV269" i="25"/>
  <c r="CD268" i="25"/>
  <c r="CF268" i="25" s="1"/>
  <c r="CI268" i="25"/>
  <c r="CJ268" i="25" s="1"/>
  <c r="CL268" i="25" s="1"/>
  <c r="BE269" i="25"/>
  <c r="BO268" i="25"/>
  <c r="DK268" i="25"/>
  <c r="BY268" i="25"/>
  <c r="CA268" i="25" s="1"/>
  <c r="DC268" i="25"/>
  <c r="A180" i="24"/>
  <c r="F180" i="24"/>
  <c r="A183" i="24"/>
  <c r="A186" i="24"/>
  <c r="A188" i="24"/>
  <c r="DE267" i="25"/>
  <c r="DF267" i="25"/>
  <c r="DG267" i="25"/>
  <c r="DO267" i="25"/>
  <c r="F170" i="24"/>
  <c r="F173" i="24" s="1"/>
  <c r="A170" i="24"/>
  <c r="A173" i="24"/>
  <c r="F162" i="24"/>
  <c r="A174" i="24"/>
  <c r="F174" i="24"/>
  <c r="J384" i="24"/>
  <c r="CK268" i="25" l="1"/>
  <c r="CK267" i="25"/>
  <c r="CM267" i="25"/>
  <c r="CM268" i="25"/>
  <c r="AV270" i="25"/>
  <c r="CS269" i="25"/>
  <c r="BM269" i="25"/>
  <c r="DF268" i="25"/>
  <c r="DE268" i="25"/>
  <c r="DO268" i="25"/>
  <c r="DG268" i="25"/>
  <c r="CY269" i="25"/>
  <c r="BS269" i="25"/>
  <c r="BB270" i="25"/>
  <c r="BN269" i="25"/>
  <c r="BQ269" i="25"/>
  <c r="CW269" i="25"/>
  <c r="CT269" i="25"/>
  <c r="A184" i="24"/>
  <c r="F185" i="24"/>
  <c r="A185" i="24"/>
  <c r="DM268" i="25"/>
  <c r="DN268" i="25"/>
  <c r="I85" i="18"/>
  <c r="G155" i="24"/>
  <c r="I430" i="24"/>
  <c r="A181" i="24"/>
  <c r="F181" i="24"/>
  <c r="F184" i="24" s="1"/>
  <c r="A187" i="24"/>
  <c r="F187" i="24"/>
  <c r="F189" i="24" s="1"/>
  <c r="CD269" i="25"/>
  <c r="CF269" i="25" s="1"/>
  <c r="CI269" i="25"/>
  <c r="BY269" i="25"/>
  <c r="CA269" i="25" s="1"/>
  <c r="BE270" i="25"/>
  <c r="BO269" i="25"/>
  <c r="DC269" i="25"/>
  <c r="DK269" i="25"/>
  <c r="A189" i="24"/>
  <c r="A182" i="24"/>
  <c r="F182" i="24"/>
  <c r="J385" i="24"/>
  <c r="CJ269" i="25" l="1"/>
  <c r="CM269" i="25" s="1"/>
  <c r="DC270" i="25"/>
  <c r="BY270" i="25"/>
  <c r="CA270" i="25" s="1"/>
  <c r="CD270" i="25"/>
  <c r="CF270" i="25" s="1"/>
  <c r="BO270" i="25"/>
  <c r="CI270" i="25"/>
  <c r="BE271" i="25"/>
  <c r="DK270" i="25"/>
  <c r="F155" i="24"/>
  <c r="I87" i="18"/>
  <c r="I447" i="24"/>
  <c r="I104" i="18" s="1"/>
  <c r="DM269" i="25"/>
  <c r="DN269" i="25"/>
  <c r="CW270" i="25"/>
  <c r="CT270" i="25"/>
  <c r="BQ270" i="25"/>
  <c r="CY270" i="25"/>
  <c r="BN270" i="25"/>
  <c r="BS270" i="25"/>
  <c r="BB271" i="25"/>
  <c r="DO269" i="25"/>
  <c r="DF269" i="25"/>
  <c r="DE269" i="25"/>
  <c r="DG269" i="25"/>
  <c r="AV271" i="25"/>
  <c r="CS270" i="25"/>
  <c r="BM270" i="25"/>
  <c r="J386" i="24"/>
  <c r="CL269" i="25" l="1"/>
  <c r="CK269" i="25"/>
  <c r="CJ270" i="25"/>
  <c r="DN270" i="25"/>
  <c r="DM270" i="25"/>
  <c r="BY271" i="25"/>
  <c r="CA271" i="25" s="1"/>
  <c r="CI271" i="25"/>
  <c r="DC271" i="25"/>
  <c r="CD271" i="25"/>
  <c r="CF271" i="25" s="1"/>
  <c r="BO271" i="25"/>
  <c r="DK271" i="25"/>
  <c r="BE272" i="25"/>
  <c r="BS271" i="25"/>
  <c r="CY271" i="25"/>
  <c r="CW271" i="25"/>
  <c r="CT271" i="25"/>
  <c r="BQ271" i="25"/>
  <c r="BB272" i="25"/>
  <c r="BN271" i="25"/>
  <c r="CS271" i="25"/>
  <c r="BM271" i="25"/>
  <c r="AV272" i="25"/>
  <c r="DO270" i="25"/>
  <c r="DF270" i="25"/>
  <c r="DG270" i="25"/>
  <c r="DE270" i="25"/>
  <c r="J387" i="24"/>
  <c r="CJ271" i="25" l="1"/>
  <c r="CM271" i="25" s="1"/>
  <c r="CL270" i="25"/>
  <c r="CM270" i="25"/>
  <c r="CK270" i="25"/>
  <c r="DN271" i="25"/>
  <c r="DM271" i="25"/>
  <c r="BQ272" i="25"/>
  <c r="CY272" i="25"/>
  <c r="BB273" i="25"/>
  <c r="BN272" i="25"/>
  <c r="BS272" i="25"/>
  <c r="CW272" i="25"/>
  <c r="CT272" i="25"/>
  <c r="DO271" i="25"/>
  <c r="DE271" i="25"/>
  <c r="DF271" i="25"/>
  <c r="DG271" i="25"/>
  <c r="BM272" i="25"/>
  <c r="AV273" i="25"/>
  <c r="CS272" i="25"/>
  <c r="BO272" i="25"/>
  <c r="CI272" i="25"/>
  <c r="BE273" i="25"/>
  <c r="DK272" i="25"/>
  <c r="BY272" i="25"/>
  <c r="CA272" i="25" s="1"/>
  <c r="CD272" i="25"/>
  <c r="CF272" i="25" s="1"/>
  <c r="DC272" i="25"/>
  <c r="J388" i="24"/>
  <c r="CL271" i="25" l="1"/>
  <c r="CK271" i="25"/>
  <c r="CJ272" i="25"/>
  <c r="CK272" i="25" s="1"/>
  <c r="AV274" i="25"/>
  <c r="BM273" i="25"/>
  <c r="CS273" i="25"/>
  <c r="BS273" i="25"/>
  <c r="BB274" i="25"/>
  <c r="CY273" i="25"/>
  <c r="BN273" i="25"/>
  <c r="CT273" i="25"/>
  <c r="CW273" i="25"/>
  <c r="BQ273" i="25"/>
  <c r="DE272" i="25"/>
  <c r="DO272" i="25"/>
  <c r="DF272" i="25"/>
  <c r="DG272" i="25"/>
  <c r="DN272" i="25"/>
  <c r="DM272" i="25"/>
  <c r="BO273" i="25"/>
  <c r="DC273" i="25"/>
  <c r="CD273" i="25"/>
  <c r="CF273" i="25" s="1"/>
  <c r="BE274" i="25"/>
  <c r="BY273" i="25"/>
  <c r="CA273" i="25" s="1"/>
  <c r="CI273" i="25"/>
  <c r="DK273" i="25"/>
  <c r="J389" i="24"/>
  <c r="CM272" i="25" l="1"/>
  <c r="CL272" i="25"/>
  <c r="CJ273" i="25"/>
  <c r="CM273" i="25" s="1"/>
  <c r="DM273" i="25"/>
  <c r="DN273" i="25"/>
  <c r="BS274" i="25"/>
  <c r="CW274" i="25"/>
  <c r="BN274" i="25"/>
  <c r="CY274" i="25"/>
  <c r="BQ274" i="25"/>
  <c r="CT274" i="25"/>
  <c r="BB275" i="25"/>
  <c r="BE275" i="25"/>
  <c r="DC274" i="25"/>
  <c r="BY274" i="25"/>
  <c r="CA274" i="25" s="1"/>
  <c r="BO274" i="25"/>
  <c r="DK274" i="25"/>
  <c r="CI274" i="25"/>
  <c r="CD274" i="25"/>
  <c r="CF274" i="25" s="1"/>
  <c r="DE273" i="25"/>
  <c r="DG273" i="25"/>
  <c r="DO273" i="25"/>
  <c r="DF273" i="25"/>
  <c r="BM274" i="25"/>
  <c r="AV275" i="25"/>
  <c r="CS274" i="25"/>
  <c r="J390" i="24"/>
  <c r="CL273" i="25" l="1"/>
  <c r="CK273" i="25"/>
  <c r="CJ274" i="25"/>
  <c r="CK274" i="25" s="1"/>
  <c r="CS275" i="25"/>
  <c r="BM275" i="25"/>
  <c r="AV276" i="25"/>
  <c r="DM274" i="25"/>
  <c r="DN274" i="25"/>
  <c r="DO274" i="25"/>
  <c r="DF274" i="25"/>
  <c r="DG274" i="25"/>
  <c r="DE274" i="25"/>
  <c r="BY275" i="25"/>
  <c r="CA275" i="25" s="1"/>
  <c r="DK275" i="25"/>
  <c r="BE276" i="25"/>
  <c r="CD275" i="25"/>
  <c r="CF275" i="25" s="1"/>
  <c r="CI275" i="25"/>
  <c r="DC275" i="25"/>
  <c r="BO275" i="25"/>
  <c r="BS275" i="25"/>
  <c r="CY275" i="25"/>
  <c r="BQ275" i="25"/>
  <c r="BN275" i="25"/>
  <c r="CT275" i="25"/>
  <c r="BB276" i="25"/>
  <c r="CW275" i="25"/>
  <c r="J391" i="24"/>
  <c r="CM274" i="25" l="1"/>
  <c r="CL274" i="25"/>
  <c r="CJ275" i="25"/>
  <c r="CM275" i="25" s="1"/>
  <c r="DF275" i="25"/>
  <c r="DO275" i="25"/>
  <c r="DE275" i="25"/>
  <c r="DG275" i="25"/>
  <c r="CY276" i="25"/>
  <c r="BN276" i="25"/>
  <c r="CW276" i="25"/>
  <c r="BS276" i="25"/>
  <c r="BB277" i="25"/>
  <c r="CT276" i="25"/>
  <c r="BQ276" i="25"/>
  <c r="BE277" i="25"/>
  <c r="CD276" i="25"/>
  <c r="CF276" i="25" s="1"/>
  <c r="BO276" i="25"/>
  <c r="BY276" i="25"/>
  <c r="CA276" i="25" s="1"/>
  <c r="DK276" i="25"/>
  <c r="DC276" i="25"/>
  <c r="CI276" i="25"/>
  <c r="DM275" i="25"/>
  <c r="DN275" i="25"/>
  <c r="CS276" i="25"/>
  <c r="AV277" i="25"/>
  <c r="BM276" i="25"/>
  <c r="J392" i="24"/>
  <c r="CK275" i="25" l="1"/>
  <c r="CL275" i="25"/>
  <c r="CJ276" i="25"/>
  <c r="CK276" i="25" s="1"/>
  <c r="DM276" i="25"/>
  <c r="DN276" i="25"/>
  <c r="CS277" i="25"/>
  <c r="BM277" i="25"/>
  <c r="AV278" i="25"/>
  <c r="DC277" i="25"/>
  <c r="BE278" i="25"/>
  <c r="BY277" i="25"/>
  <c r="CA277" i="25" s="1"/>
  <c r="CI277" i="25"/>
  <c r="CJ277" i="25" s="1"/>
  <c r="CM277" i="25" s="1"/>
  <c r="CD277" i="25"/>
  <c r="CF277" i="25" s="1"/>
  <c r="BO277" i="25"/>
  <c r="DK277" i="25"/>
  <c r="DG276" i="25"/>
  <c r="DO276" i="25"/>
  <c r="DE276" i="25"/>
  <c r="DF276" i="25"/>
  <c r="BS277" i="25"/>
  <c r="BN277" i="25"/>
  <c r="CY277" i="25"/>
  <c r="BQ277" i="25"/>
  <c r="CW277" i="25"/>
  <c r="BB278" i="25"/>
  <c r="CT277" i="25"/>
  <c r="J393" i="24"/>
  <c r="CM276" i="25" l="1"/>
  <c r="CK277" i="25"/>
  <c r="CL276" i="25"/>
  <c r="CL277" i="25"/>
  <c r="DK278" i="25"/>
  <c r="BY278" i="25"/>
  <c r="CA278" i="25" s="1"/>
  <c r="DC278" i="25"/>
  <c r="CD278" i="25"/>
  <c r="CF278" i="25" s="1"/>
  <c r="BO278" i="25"/>
  <c r="CI278" i="25"/>
  <c r="BE279" i="25"/>
  <c r="DE277" i="25"/>
  <c r="DF277" i="25"/>
  <c r="DO277" i="25"/>
  <c r="DG277" i="25"/>
  <c r="BM278" i="25"/>
  <c r="AV279" i="25"/>
  <c r="CS278" i="25"/>
  <c r="DM277" i="25"/>
  <c r="DN277" i="25"/>
  <c r="CW278" i="25"/>
  <c r="BN278" i="25"/>
  <c r="BB279" i="25"/>
  <c r="BS278" i="25"/>
  <c r="CY278" i="25"/>
  <c r="CT278" i="25"/>
  <c r="BQ278" i="25"/>
  <c r="J394" i="24"/>
  <c r="CJ278" i="25" l="1"/>
  <c r="CM278" i="25" s="1"/>
  <c r="CI279" i="25"/>
  <c r="DC279" i="25"/>
  <c r="DK279" i="25"/>
  <c r="BY279" i="25"/>
  <c r="CA279" i="25" s="1"/>
  <c r="CD279" i="25"/>
  <c r="CF279" i="25" s="1"/>
  <c r="BE280" i="25"/>
  <c r="BO279" i="25"/>
  <c r="BM279" i="25"/>
  <c r="CS279" i="25"/>
  <c r="AV280" i="25"/>
  <c r="BN279" i="25"/>
  <c r="CY279" i="25"/>
  <c r="BS279" i="25"/>
  <c r="CT279" i="25"/>
  <c r="BQ279" i="25"/>
  <c r="CW279" i="25"/>
  <c r="BB280" i="25"/>
  <c r="DO278" i="25"/>
  <c r="DF278" i="25"/>
  <c r="DE278" i="25"/>
  <c r="DG278" i="25"/>
  <c r="DM278" i="25"/>
  <c r="DN278" i="25"/>
  <c r="J395" i="24"/>
  <c r="J396" i="24" s="1"/>
  <c r="J397" i="24" s="1"/>
  <c r="J398" i="24" s="1"/>
  <c r="J399" i="24" s="1"/>
  <c r="J400" i="24" s="1"/>
  <c r="J401" i="24" s="1"/>
  <c r="J402" i="24" s="1"/>
  <c r="J403" i="24" s="1"/>
  <c r="J404" i="24" s="1"/>
  <c r="J405" i="24" s="1"/>
  <c r="CL278" i="25" l="1"/>
  <c r="CK278" i="25"/>
  <c r="CJ279" i="25"/>
  <c r="CD280" i="25"/>
  <c r="CF280" i="25" s="1"/>
  <c r="BO280" i="25"/>
  <c r="BY280" i="25"/>
  <c r="CA280" i="25" s="1"/>
  <c r="DK280" i="25"/>
  <c r="CI280" i="25"/>
  <c r="BE281" i="25"/>
  <c r="DC280" i="25"/>
  <c r="DN279" i="25"/>
  <c r="DM279" i="25"/>
  <c r="BM280" i="25"/>
  <c r="CS280" i="25"/>
  <c r="AV281" i="25"/>
  <c r="DE279" i="25"/>
  <c r="DG279" i="25"/>
  <c r="DO279" i="25"/>
  <c r="DF279" i="25"/>
  <c r="BN280" i="25"/>
  <c r="BS280" i="25"/>
  <c r="CY280" i="25"/>
  <c r="CW280" i="25"/>
  <c r="BQ280" i="25"/>
  <c r="BB281" i="25"/>
  <c r="CT280" i="25"/>
  <c r="J406" i="24"/>
  <c r="J407" i="24" s="1"/>
  <c r="J408" i="24" s="1"/>
  <c r="J409" i="24" s="1"/>
  <c r="J410" i="24" s="1"/>
  <c r="J411" i="24" s="1"/>
  <c r="J412" i="24" s="1"/>
  <c r="J413" i="24" s="1"/>
  <c r="J414" i="24" s="1"/>
  <c r="J415" i="24" s="1"/>
  <c r="J416" i="24" s="1"/>
  <c r="J417" i="24" s="1"/>
  <c r="J418" i="24" s="1"/>
  <c r="J419" i="24" s="1"/>
  <c r="J420" i="24" s="1"/>
  <c r="J421" i="24" s="1"/>
  <c r="J422" i="24" s="1"/>
  <c r="J423" i="24" s="1"/>
  <c r="J424" i="24" s="1"/>
  <c r="J425" i="24" s="1"/>
  <c r="J426" i="24" s="1"/>
  <c r="J427" i="24" s="1"/>
  <c r="J428" i="24" s="1"/>
  <c r="J429" i="24" s="1"/>
  <c r="J430" i="24" s="1"/>
  <c r="J431" i="24" s="1"/>
  <c r="J432" i="24" s="1"/>
  <c r="J433" i="24" s="1"/>
  <c r="J434" i="24" s="1"/>
  <c r="J435" i="24" s="1"/>
  <c r="J436" i="24" s="1"/>
  <c r="J437" i="24" s="1"/>
  <c r="J438" i="24" s="1"/>
  <c r="J439" i="24" s="1"/>
  <c r="J440" i="24" s="1"/>
  <c r="J441" i="24" s="1"/>
  <c r="J442" i="24" s="1"/>
  <c r="J443" i="24" s="1"/>
  <c r="J444" i="24" s="1"/>
  <c r="J445" i="24" s="1"/>
  <c r="J446" i="24" s="1"/>
  <c r="J447" i="24" s="1"/>
  <c r="J448" i="24" s="1"/>
  <c r="J449" i="24" s="1"/>
  <c r="J450" i="24" s="1"/>
  <c r="J451" i="24" s="1"/>
  <c r="J452" i="24" s="1"/>
  <c r="J453" i="24" s="1"/>
  <c r="J454" i="24" s="1"/>
  <c r="J455" i="24" s="1"/>
  <c r="J456" i="24" s="1"/>
  <c r="J457" i="24" s="1"/>
  <c r="CJ280" i="25" l="1"/>
  <c r="CK280" i="25" s="1"/>
  <c r="CL279" i="25"/>
  <c r="CK279" i="25"/>
  <c r="CM279" i="25"/>
  <c r="CY281" i="25"/>
  <c r="BQ281" i="25"/>
  <c r="BN281" i="25"/>
  <c r="CT281" i="25"/>
  <c r="BS281" i="25"/>
  <c r="BB282" i="25"/>
  <c r="CW281" i="25"/>
  <c r="DE280" i="25"/>
  <c r="DO280" i="25"/>
  <c r="DG280" i="25"/>
  <c r="DF280" i="25"/>
  <c r="BY281" i="25"/>
  <c r="CA281" i="25" s="1"/>
  <c r="DC281" i="25"/>
  <c r="BO281" i="25"/>
  <c r="BE282" i="25"/>
  <c r="DK281" i="25"/>
  <c r="CD281" i="25"/>
  <c r="CF281" i="25" s="1"/>
  <c r="CI281" i="25"/>
  <c r="CS281" i="25"/>
  <c r="BM281" i="25"/>
  <c r="AV282" i="25"/>
  <c r="DM280" i="25"/>
  <c r="DN280" i="25"/>
  <c r="A66" i="24"/>
  <c r="J64" i="24"/>
  <c r="P65" i="24"/>
  <c r="P64" i="24"/>
  <c r="A64" i="24"/>
  <c r="H64" i="24"/>
  <c r="I64" i="24"/>
  <c r="H65" i="24"/>
  <c r="I65" i="24"/>
  <c r="J65" i="24"/>
  <c r="A65" i="24"/>
  <c r="P66" i="24"/>
  <c r="H66" i="24"/>
  <c r="I66" i="24"/>
  <c r="J66" i="24"/>
  <c r="P67" i="24"/>
  <c r="J67" i="24"/>
  <c r="I67" i="24"/>
  <c r="H67" i="24"/>
  <c r="A67" i="24"/>
  <c r="J68" i="24"/>
  <c r="A68" i="24"/>
  <c r="H68" i="24"/>
  <c r="P68" i="24"/>
  <c r="I68" i="24"/>
  <c r="I109" i="24"/>
  <c r="A89" i="24"/>
  <c r="A70" i="24"/>
  <c r="A82" i="24"/>
  <c r="P79" i="24"/>
  <c r="A71" i="24"/>
  <c r="I75" i="24"/>
  <c r="A78" i="24"/>
  <c r="I70" i="24"/>
  <c r="H73" i="24"/>
  <c r="I72" i="24"/>
  <c r="A72" i="24"/>
  <c r="P74" i="24"/>
  <c r="J75" i="24"/>
  <c r="I105" i="24"/>
  <c r="H81" i="24"/>
  <c r="H82" i="24"/>
  <c r="J69" i="24"/>
  <c r="J74" i="24"/>
  <c r="H79" i="24"/>
  <c r="P76" i="24"/>
  <c r="A69" i="24"/>
  <c r="I78" i="24"/>
  <c r="J73" i="24"/>
  <c r="I74" i="24"/>
  <c r="P73" i="24"/>
  <c r="A84" i="24"/>
  <c r="J80" i="24"/>
  <c r="I80" i="24"/>
  <c r="H75" i="24"/>
  <c r="H74" i="24"/>
  <c r="A80" i="24"/>
  <c r="H69" i="24"/>
  <c r="J71" i="24"/>
  <c r="A75" i="24"/>
  <c r="A83" i="24"/>
  <c r="A73" i="24"/>
  <c r="J82" i="24"/>
  <c r="I86" i="24"/>
  <c r="P71" i="24"/>
  <c r="A79" i="24"/>
  <c r="J78" i="24"/>
  <c r="A85" i="24"/>
  <c r="H77" i="24"/>
  <c r="H70" i="24"/>
  <c r="P80" i="24"/>
  <c r="H76" i="24"/>
  <c r="P77" i="24"/>
  <c r="J83" i="24"/>
  <c r="J79" i="24"/>
  <c r="I71" i="24"/>
  <c r="I84" i="24"/>
  <c r="P75" i="24"/>
  <c r="A76" i="24"/>
  <c r="I79" i="24"/>
  <c r="P69" i="24"/>
  <c r="H84" i="24"/>
  <c r="H80" i="24"/>
  <c r="P85" i="24"/>
  <c r="A86" i="24"/>
  <c r="H72" i="24"/>
  <c r="P78" i="24"/>
  <c r="P81" i="24"/>
  <c r="P72" i="24"/>
  <c r="I77" i="24"/>
  <c r="J81" i="24"/>
  <c r="P86" i="24"/>
  <c r="J85" i="24"/>
  <c r="A81" i="24"/>
  <c r="A74" i="24"/>
  <c r="I69" i="24"/>
  <c r="I83" i="24"/>
  <c r="I81" i="24"/>
  <c r="P84" i="24"/>
  <c r="H78" i="24"/>
  <c r="J84" i="24"/>
  <c r="I85" i="24"/>
  <c r="H86" i="24"/>
  <c r="J77" i="24"/>
  <c r="I73" i="24"/>
  <c r="I82" i="24"/>
  <c r="H71" i="24"/>
  <c r="A77" i="24"/>
  <c r="I76" i="24"/>
  <c r="J76" i="24"/>
  <c r="P70" i="24"/>
  <c r="J86" i="24"/>
  <c r="H85" i="24"/>
  <c r="P83" i="24"/>
  <c r="P82" i="24"/>
  <c r="J70" i="24"/>
  <c r="H83" i="24"/>
  <c r="J72" i="24"/>
  <c r="A87" i="24"/>
  <c r="J87" i="24"/>
  <c r="H87" i="24"/>
  <c r="P87" i="24"/>
  <c r="I87" i="24"/>
  <c r="I137" i="24"/>
  <c r="J113" i="24"/>
  <c r="P113" i="24"/>
  <c r="P125" i="24"/>
  <c r="P132" i="24"/>
  <c r="P98" i="24"/>
  <c r="A91" i="24"/>
  <c r="P128" i="24"/>
  <c r="H110" i="24"/>
  <c r="J91" i="24"/>
  <c r="J140" i="24"/>
  <c r="I113" i="24"/>
  <c r="J144" i="24"/>
  <c r="P96" i="24"/>
  <c r="H101" i="24"/>
  <c r="P114" i="24"/>
  <c r="P121" i="24"/>
  <c r="I116" i="24"/>
  <c r="I133" i="24"/>
  <c r="H91" i="24"/>
  <c r="A113" i="24"/>
  <c r="A99" i="24"/>
  <c r="I95" i="24"/>
  <c r="I96" i="24"/>
  <c r="H120" i="24"/>
  <c r="A102" i="24"/>
  <c r="I111" i="24"/>
  <c r="I127" i="24"/>
  <c r="A115" i="24"/>
  <c r="I140" i="24"/>
  <c r="P92" i="24"/>
  <c r="H126" i="24"/>
  <c r="I92" i="24"/>
  <c r="I115" i="24"/>
  <c r="I134" i="24"/>
  <c r="A96" i="24"/>
  <c r="J98" i="24"/>
  <c r="H128" i="24"/>
  <c r="H105" i="24"/>
  <c r="J108" i="24"/>
  <c r="H117" i="24"/>
  <c r="A136" i="24"/>
  <c r="A127" i="24"/>
  <c r="H132" i="24"/>
  <c r="A104" i="24"/>
  <c r="H94" i="24"/>
  <c r="J97" i="24"/>
  <c r="J134" i="24"/>
  <c r="P89" i="24"/>
  <c r="I101" i="24"/>
  <c r="J137" i="24"/>
  <c r="J88" i="24"/>
  <c r="H140" i="24"/>
  <c r="H92" i="24"/>
  <c r="P106" i="24"/>
  <c r="I108" i="24"/>
  <c r="J132" i="24"/>
  <c r="H130" i="24"/>
  <c r="J121" i="24"/>
  <c r="H95" i="24"/>
  <c r="P111" i="24"/>
  <c r="I114" i="24"/>
  <c r="H93" i="24"/>
  <c r="H123" i="24"/>
  <c r="H97" i="24"/>
  <c r="P133" i="24"/>
  <c r="P143" i="24"/>
  <c r="A116" i="24"/>
  <c r="A109" i="24"/>
  <c r="H118" i="24"/>
  <c r="I100" i="24"/>
  <c r="P144" i="24"/>
  <c r="H99" i="24"/>
  <c r="A100" i="24"/>
  <c r="A90" i="24"/>
  <c r="J101" i="24"/>
  <c r="I93" i="24"/>
  <c r="P91" i="24"/>
  <c r="H106" i="24"/>
  <c r="I138" i="24"/>
  <c r="J122" i="24"/>
  <c r="I103" i="24"/>
  <c r="A129" i="24"/>
  <c r="P108" i="24"/>
  <c r="H134" i="24"/>
  <c r="A93" i="24"/>
  <c r="P107" i="24"/>
  <c r="I110" i="24"/>
  <c r="J123" i="24"/>
  <c r="H108" i="24"/>
  <c r="P94" i="24"/>
  <c r="P137" i="24"/>
  <c r="J115" i="24"/>
  <c r="J110" i="24"/>
  <c r="H139" i="24"/>
  <c r="H138" i="24"/>
  <c r="P90" i="24"/>
  <c r="H96" i="24"/>
  <c r="H89" i="24"/>
  <c r="P134" i="24"/>
  <c r="A137" i="24"/>
  <c r="J124" i="24"/>
  <c r="J99" i="24"/>
  <c r="P110" i="24"/>
  <c r="H143" i="24"/>
  <c r="P141" i="24"/>
  <c r="J126" i="24"/>
  <c r="A98" i="24"/>
  <c r="J119" i="24"/>
  <c r="H119" i="24"/>
  <c r="H100" i="24"/>
  <c r="I119" i="24"/>
  <c r="A140" i="24"/>
  <c r="J96" i="24"/>
  <c r="H136" i="24"/>
  <c r="I120" i="24"/>
  <c r="H98" i="24"/>
  <c r="A92" i="24"/>
  <c r="I89" i="24"/>
  <c r="A94" i="24"/>
  <c r="A88" i="24"/>
  <c r="J103" i="24"/>
  <c r="P124" i="24"/>
  <c r="I102" i="24"/>
  <c r="J128" i="24"/>
  <c r="I121" i="24"/>
  <c r="A101" i="24"/>
  <c r="A110" i="24"/>
  <c r="P118" i="24"/>
  <c r="I97" i="24"/>
  <c r="J104" i="24"/>
  <c r="I125" i="24"/>
  <c r="I144" i="24"/>
  <c r="A138" i="24"/>
  <c r="A124" i="24"/>
  <c r="I139" i="24"/>
  <c r="I106" i="24"/>
  <c r="J90" i="24"/>
  <c r="J106" i="24"/>
  <c r="I142" i="24"/>
  <c r="A131" i="24"/>
  <c r="H103" i="24"/>
  <c r="J95" i="24"/>
  <c r="H124" i="24"/>
  <c r="P105" i="24"/>
  <c r="I143" i="24"/>
  <c r="J107" i="24"/>
  <c r="I99" i="24"/>
  <c r="I136" i="24"/>
  <c r="H121" i="24"/>
  <c r="H88" i="24"/>
  <c r="I141" i="24"/>
  <c r="P100" i="24"/>
  <c r="I94" i="24"/>
  <c r="I90" i="24"/>
  <c r="A106" i="24"/>
  <c r="A105" i="24"/>
  <c r="P127" i="24"/>
  <c r="A123" i="24"/>
  <c r="J111" i="24"/>
  <c r="I124" i="24"/>
  <c r="A125" i="24"/>
  <c r="P136" i="24"/>
  <c r="P93" i="24"/>
  <c r="J100" i="24"/>
  <c r="A118" i="24"/>
  <c r="P135" i="24"/>
  <c r="H111" i="24"/>
  <c r="J143" i="24"/>
  <c r="J109" i="24"/>
  <c r="J93" i="24"/>
  <c r="A114" i="24"/>
  <c r="P103" i="24"/>
  <c r="I107" i="24"/>
  <c r="J105" i="24"/>
  <c r="A142" i="24"/>
  <c r="P120" i="24"/>
  <c r="P116" i="24"/>
  <c r="H131" i="24"/>
  <c r="H90" i="24"/>
  <c r="H112" i="24"/>
  <c r="J136" i="24"/>
  <c r="A133" i="24"/>
  <c r="J116" i="24"/>
  <c r="A108" i="24"/>
  <c r="A130" i="24"/>
  <c r="A132" i="24"/>
  <c r="J102" i="24"/>
  <c r="J138" i="24"/>
  <c r="H104" i="24"/>
  <c r="P122" i="24"/>
  <c r="A139" i="24"/>
  <c r="I128" i="24"/>
  <c r="A135" i="24"/>
  <c r="P131" i="24"/>
  <c r="H144" i="24"/>
  <c r="J120" i="24"/>
  <c r="H137" i="24"/>
  <c r="P102" i="24"/>
  <c r="P97" i="24"/>
  <c r="H115" i="24"/>
  <c r="P109" i="24"/>
  <c r="P142" i="24"/>
  <c r="A120" i="24"/>
  <c r="A126" i="24"/>
  <c r="P126" i="24"/>
  <c r="I112" i="24"/>
  <c r="P140" i="24"/>
  <c r="J130" i="24"/>
  <c r="H114" i="24"/>
  <c r="P129" i="24"/>
  <c r="A143" i="24"/>
  <c r="J125" i="24"/>
  <c r="A95" i="24"/>
  <c r="J94" i="24"/>
  <c r="A122" i="24"/>
  <c r="A111" i="24"/>
  <c r="A119" i="24"/>
  <c r="P112" i="24"/>
  <c r="J133" i="24"/>
  <c r="P117" i="24"/>
  <c r="P130" i="24"/>
  <c r="J141" i="24"/>
  <c r="A144" i="24"/>
  <c r="H127" i="24"/>
  <c r="I98" i="24"/>
  <c r="J117" i="24"/>
  <c r="P139" i="24"/>
  <c r="H125" i="24"/>
  <c r="P104" i="24"/>
  <c r="A121" i="24"/>
  <c r="I104" i="24"/>
  <c r="P115" i="24"/>
  <c r="H116" i="24"/>
  <c r="J135" i="24"/>
  <c r="J127" i="24"/>
  <c r="H102" i="24"/>
  <c r="I131" i="24"/>
  <c r="H113" i="24"/>
  <c r="I135" i="24"/>
  <c r="H135" i="24"/>
  <c r="P138" i="24"/>
  <c r="H142" i="24"/>
  <c r="A103" i="24"/>
  <c r="P101" i="24"/>
  <c r="A134" i="24"/>
  <c r="I132" i="24"/>
  <c r="I123" i="24"/>
  <c r="I118" i="24"/>
  <c r="H133" i="24"/>
  <c r="P99" i="24"/>
  <c r="J129" i="24"/>
  <c r="I122" i="24"/>
  <c r="J142" i="24"/>
  <c r="A112" i="24"/>
  <c r="I91" i="24"/>
  <c r="J118" i="24"/>
  <c r="I130" i="24"/>
  <c r="J114" i="24"/>
  <c r="P88" i="24"/>
  <c r="I117" i="24"/>
  <c r="J112" i="24"/>
  <c r="J131" i="24"/>
  <c r="I129" i="24"/>
  <c r="J89" i="24"/>
  <c r="A141" i="24"/>
  <c r="H129" i="24"/>
  <c r="P123" i="24"/>
  <c r="H141" i="24"/>
  <c r="A107" i="24"/>
  <c r="A128" i="24"/>
  <c r="A97" i="24"/>
  <c r="P95" i="24"/>
  <c r="H107" i="24"/>
  <c r="P119" i="24"/>
  <c r="H122" i="24"/>
  <c r="I88" i="24"/>
  <c r="J139" i="24"/>
  <c r="I126" i="24"/>
  <c r="A117" i="24"/>
  <c r="J92" i="24"/>
  <c r="H109" i="24"/>
  <c r="CM280" i="25" l="1"/>
  <c r="CL280" i="25"/>
  <c r="CJ281" i="25"/>
  <c r="DN281" i="25"/>
  <c r="DM281" i="25"/>
  <c r="CD282" i="25"/>
  <c r="CF282" i="25" s="1"/>
  <c r="BE283" i="25"/>
  <c r="DC282" i="25"/>
  <c r="DK282" i="25"/>
  <c r="BO282" i="25"/>
  <c r="BY282" i="25"/>
  <c r="CA282" i="25" s="1"/>
  <c r="CI282" i="25"/>
  <c r="CJ282" i="25" s="1"/>
  <c r="CL282" i="25" s="1"/>
  <c r="BS282" i="25"/>
  <c r="BQ282" i="25"/>
  <c r="BN282" i="25"/>
  <c r="CT282" i="25"/>
  <c r="CY282" i="25"/>
  <c r="CW282" i="25"/>
  <c r="BB283" i="25"/>
  <c r="BM282" i="25"/>
  <c r="AV283" i="25"/>
  <c r="CS282" i="25"/>
  <c r="DO281" i="25"/>
  <c r="DG281" i="25"/>
  <c r="DE281" i="25"/>
  <c r="DF281" i="25"/>
  <c r="CK282" i="25" l="1"/>
  <c r="CM282" i="25"/>
  <c r="CM281" i="25"/>
  <c r="CL281" i="25"/>
  <c r="CK281" i="25"/>
  <c r="CT283" i="25"/>
  <c r="CW283" i="25"/>
  <c r="BN283" i="25"/>
  <c r="BS283" i="25"/>
  <c r="CY283" i="25"/>
  <c r="BQ283" i="25"/>
  <c r="BB284" i="25"/>
  <c r="DM282" i="25"/>
  <c r="DN282" i="25"/>
  <c r="DF282" i="25"/>
  <c r="DE282" i="25"/>
  <c r="DO282" i="25"/>
  <c r="DG282" i="25"/>
  <c r="BO283" i="25"/>
  <c r="CI283" i="25"/>
  <c r="BY283" i="25"/>
  <c r="CA283" i="25" s="1"/>
  <c r="CD283" i="25"/>
  <c r="CF283" i="25" s="1"/>
  <c r="DC283" i="25"/>
  <c r="BE284" i="25"/>
  <c r="DK283" i="25"/>
  <c r="CS283" i="25"/>
  <c r="BM283" i="25"/>
  <c r="AV284" i="25"/>
  <c r="CJ283" i="25" l="1"/>
  <c r="CK283" i="25" s="1"/>
  <c r="AV285" i="25"/>
  <c r="BM284" i="25"/>
  <c r="CS284" i="25"/>
  <c r="BN284" i="25"/>
  <c r="BB285" i="25"/>
  <c r="BS284" i="25"/>
  <c r="CW284" i="25"/>
  <c r="CT284" i="25"/>
  <c r="BQ284" i="25"/>
  <c r="CY284" i="25"/>
  <c r="DN283" i="25"/>
  <c r="DM283" i="25"/>
  <c r="DC284" i="25"/>
  <c r="BY284" i="25"/>
  <c r="CA284" i="25" s="1"/>
  <c r="DK284" i="25"/>
  <c r="BO284" i="25"/>
  <c r="CD284" i="25"/>
  <c r="CF284" i="25" s="1"/>
  <c r="BE285" i="25"/>
  <c r="CI284" i="25"/>
  <c r="DO283" i="25"/>
  <c r="DE283" i="25"/>
  <c r="DG283" i="25"/>
  <c r="DF283" i="25"/>
  <c r="CL283" i="25" l="1"/>
  <c r="CM283" i="25"/>
  <c r="CJ284" i="25"/>
  <c r="CK284" i="25" s="1"/>
  <c r="DE284" i="25"/>
  <c r="DF284" i="25"/>
  <c r="DO284" i="25"/>
  <c r="DG284" i="25"/>
  <c r="BN285" i="25"/>
  <c r="BQ285" i="25"/>
  <c r="BB286" i="25"/>
  <c r="BS285" i="25"/>
  <c r="CW285" i="25"/>
  <c r="CY285" i="25"/>
  <c r="CT285" i="25"/>
  <c r="DM284" i="25"/>
  <c r="DN284" i="25"/>
  <c r="DC285" i="25"/>
  <c r="CI285" i="25"/>
  <c r="BO285" i="25"/>
  <c r="DK285" i="25"/>
  <c r="BY285" i="25"/>
  <c r="CA285" i="25" s="1"/>
  <c r="CD285" i="25"/>
  <c r="CF285" i="25" s="1"/>
  <c r="BE286" i="25"/>
  <c r="BM285" i="25"/>
  <c r="CS285" i="25"/>
  <c r="AV286" i="25"/>
  <c r="CM284" i="25" l="1"/>
  <c r="CJ285" i="25"/>
  <c r="CK285" i="25" s="1"/>
  <c r="CL284" i="25"/>
  <c r="BQ286" i="25"/>
  <c r="CY286" i="25"/>
  <c r="CT286" i="25"/>
  <c r="BN286" i="25"/>
  <c r="BS286" i="25"/>
  <c r="CW286" i="25"/>
  <c r="BB287" i="25"/>
  <c r="DG285" i="25"/>
  <c r="DF285" i="25"/>
  <c r="DO285" i="25"/>
  <c r="DE285" i="25"/>
  <c r="BE287" i="25"/>
  <c r="BY286" i="25"/>
  <c r="CA286" i="25" s="1"/>
  <c r="CD286" i="25"/>
  <c r="CF286" i="25" s="1"/>
  <c r="DK286" i="25"/>
  <c r="BO286" i="25"/>
  <c r="DC286" i="25"/>
  <c r="CI286" i="25"/>
  <c r="CJ286" i="25" s="1"/>
  <c r="CM286" i="25" s="1"/>
  <c r="AV287" i="25"/>
  <c r="BM286" i="25"/>
  <c r="CS286" i="25"/>
  <c r="DM285" i="25"/>
  <c r="DN285" i="25"/>
  <c r="CL285" i="25" l="1"/>
  <c r="CM285" i="25"/>
  <c r="CK286" i="25"/>
  <c r="CL286" i="25"/>
  <c r="DM286" i="25"/>
  <c r="DN286" i="25"/>
  <c r="BS287" i="25"/>
  <c r="BB288" i="25"/>
  <c r="BN287" i="25"/>
  <c r="CW287" i="25"/>
  <c r="CY287" i="25"/>
  <c r="BQ287" i="25"/>
  <c r="CT287" i="25"/>
  <c r="AV288" i="25"/>
  <c r="BM287" i="25"/>
  <c r="CS287" i="25"/>
  <c r="DK287" i="25"/>
  <c r="BO287" i="25"/>
  <c r="BE288" i="25"/>
  <c r="DC287" i="25"/>
  <c r="BY287" i="25"/>
  <c r="CA287" i="25" s="1"/>
  <c r="CI287" i="25"/>
  <c r="CJ287" i="25" s="1"/>
  <c r="CK287" i="25" s="1"/>
  <c r="CD287" i="25"/>
  <c r="CF287" i="25" s="1"/>
  <c r="DE286" i="25"/>
  <c r="DG286" i="25"/>
  <c r="DO286" i="25"/>
  <c r="DF286" i="25"/>
  <c r="CM287" i="25" l="1"/>
  <c r="CL287" i="25"/>
  <c r="DG287" i="25"/>
  <c r="DF287" i="25"/>
  <c r="DE287" i="25"/>
  <c r="DO287" i="25"/>
  <c r="BO288" i="25"/>
  <c r="BE289" i="25"/>
  <c r="DK288" i="25"/>
  <c r="CI288" i="25"/>
  <c r="CD288" i="25"/>
  <c r="CF288" i="25" s="1"/>
  <c r="DC288" i="25"/>
  <c r="BY288" i="25"/>
  <c r="CA288" i="25" s="1"/>
  <c r="DN287" i="25"/>
  <c r="DM287" i="25"/>
  <c r="CT288" i="25"/>
  <c r="BQ288" i="25"/>
  <c r="BS288" i="25"/>
  <c r="BN288" i="25"/>
  <c r="CW288" i="25"/>
  <c r="CY288" i="25"/>
  <c r="BB289" i="25"/>
  <c r="CS288" i="25"/>
  <c r="AV289" i="25"/>
  <c r="BM288" i="25"/>
  <c r="CJ288" i="25" l="1"/>
  <c r="CL288" i="25" s="1"/>
  <c r="DN288" i="25"/>
  <c r="DM288" i="25"/>
  <c r="BO289" i="25"/>
  <c r="CI289" i="25"/>
  <c r="DK289" i="25"/>
  <c r="CD289" i="25"/>
  <c r="CF289" i="25" s="1"/>
  <c r="BY289" i="25"/>
  <c r="CA289" i="25" s="1"/>
  <c r="BE290" i="25"/>
  <c r="DC289" i="25"/>
  <c r="BN289" i="25"/>
  <c r="CW289" i="25"/>
  <c r="BQ289" i="25"/>
  <c r="BS289" i="25"/>
  <c r="CY289" i="25"/>
  <c r="CT289" i="25"/>
  <c r="BB290" i="25"/>
  <c r="DG288" i="25"/>
  <c r="DE288" i="25"/>
  <c r="DO288" i="25"/>
  <c r="DF288" i="25"/>
  <c r="BM289" i="25"/>
  <c r="CS289" i="25"/>
  <c r="AV290" i="25"/>
  <c r="CK288" i="25" l="1"/>
  <c r="CM288" i="25"/>
  <c r="CJ289" i="25"/>
  <c r="CK289" i="25" s="1"/>
  <c r="DM289" i="25"/>
  <c r="DN289" i="25"/>
  <c r="DG289" i="25"/>
  <c r="DE289" i="25"/>
  <c r="DF289" i="25"/>
  <c r="DO289" i="25"/>
  <c r="AV291" i="25"/>
  <c r="CS290" i="25"/>
  <c r="BM290" i="25"/>
  <c r="BS290" i="25"/>
  <c r="BN290" i="25"/>
  <c r="BQ290" i="25"/>
  <c r="CW290" i="25"/>
  <c r="BB291" i="25"/>
  <c r="CY290" i="25"/>
  <c r="CT290" i="25"/>
  <c r="BO290" i="25"/>
  <c r="CD290" i="25"/>
  <c r="CF290" i="25" s="1"/>
  <c r="DK290" i="25"/>
  <c r="BE291" i="25"/>
  <c r="CI290" i="25"/>
  <c r="DC290" i="25"/>
  <c r="BY290" i="25"/>
  <c r="CA290" i="25" s="1"/>
  <c r="CL289" i="25" l="1"/>
  <c r="CM289" i="25"/>
  <c r="CJ290" i="25"/>
  <c r="CM290" i="25" s="1"/>
  <c r="AV292" i="25"/>
  <c r="BM291" i="25"/>
  <c r="CS291" i="25"/>
  <c r="CY291" i="25"/>
  <c r="BQ291" i="25"/>
  <c r="BS291" i="25"/>
  <c r="CT291" i="25"/>
  <c r="BN291" i="25"/>
  <c r="BB292" i="25"/>
  <c r="CW291" i="25"/>
  <c r="BO291" i="25"/>
  <c r="CD291" i="25"/>
  <c r="CF291" i="25" s="1"/>
  <c r="CI291" i="25"/>
  <c r="DC291" i="25"/>
  <c r="BE292" i="25"/>
  <c r="DK291" i="25"/>
  <c r="BY291" i="25"/>
  <c r="CA291" i="25" s="1"/>
  <c r="DG290" i="25"/>
  <c r="DF290" i="25"/>
  <c r="DE290" i="25"/>
  <c r="DO290" i="25"/>
  <c r="DN290" i="25"/>
  <c r="DM290" i="25"/>
  <c r="CL290" i="25" l="1"/>
  <c r="CK290" i="25"/>
  <c r="CJ291" i="25"/>
  <c r="CK291" i="25" s="1"/>
  <c r="DK292" i="25"/>
  <c r="CI292" i="25"/>
  <c r="BO292" i="25"/>
  <c r="CD292" i="25"/>
  <c r="CF292" i="25" s="1"/>
  <c r="BE293" i="25"/>
  <c r="DC292" i="25"/>
  <c r="BY292" i="25"/>
  <c r="CA292" i="25" s="1"/>
  <c r="DO291" i="25"/>
  <c r="DE291" i="25"/>
  <c r="DF291" i="25"/>
  <c r="DG291" i="25"/>
  <c r="DM291" i="25"/>
  <c r="DN291" i="25"/>
  <c r="BS292" i="25"/>
  <c r="CW292" i="25"/>
  <c r="BN292" i="25"/>
  <c r="BB293" i="25"/>
  <c r="CY292" i="25"/>
  <c r="BQ292" i="25"/>
  <c r="CT292" i="25"/>
  <c r="CS292" i="25"/>
  <c r="AV293" i="25"/>
  <c r="BM292" i="25"/>
  <c r="CL291" i="25" l="1"/>
  <c r="CJ292" i="25"/>
  <c r="CL292" i="25" s="1"/>
  <c r="CM291" i="25"/>
  <c r="DE292" i="25"/>
  <c r="DG292" i="25"/>
  <c r="DF292" i="25"/>
  <c r="DO292" i="25"/>
  <c r="CI293" i="25"/>
  <c r="BY293" i="25"/>
  <c r="CA293" i="25" s="1"/>
  <c r="BE294" i="25"/>
  <c r="DK293" i="25"/>
  <c r="BO293" i="25"/>
  <c r="CD293" i="25"/>
  <c r="CF293" i="25" s="1"/>
  <c r="DC293" i="25"/>
  <c r="BM293" i="25"/>
  <c r="AV294" i="25"/>
  <c r="CS293" i="25"/>
  <c r="CW293" i="25"/>
  <c r="BN293" i="25"/>
  <c r="CT293" i="25"/>
  <c r="BS293" i="25"/>
  <c r="CY293" i="25"/>
  <c r="BB294" i="25"/>
  <c r="BQ293" i="25"/>
  <c r="DN292" i="25"/>
  <c r="DM292" i="25"/>
  <c r="CM292" i="25" l="1"/>
  <c r="CJ293" i="25"/>
  <c r="CM293" i="25" s="1"/>
  <c r="CK292" i="25"/>
  <c r="DN293" i="25"/>
  <c r="DM293" i="25"/>
  <c r="CI294" i="25"/>
  <c r="BY294" i="25"/>
  <c r="CA294" i="25" s="1"/>
  <c r="CA295" i="25" s="1"/>
  <c r="CA298" i="25" s="1"/>
  <c r="CD294" i="25"/>
  <c r="CF294" i="25" s="1"/>
  <c r="CF295" i="25" s="1"/>
  <c r="CF298" i="25" s="1"/>
  <c r="BE295" i="25"/>
  <c r="BE263" i="26" s="1"/>
  <c r="BE264" i="26" s="1"/>
  <c r="BO294" i="25"/>
  <c r="DC294" i="25"/>
  <c r="DK294" i="25"/>
  <c r="AV295" i="25"/>
  <c r="AV263" i="26" s="1"/>
  <c r="AV264" i="26" s="1"/>
  <c r="CS294" i="25"/>
  <c r="BM294" i="25"/>
  <c r="BN294" i="25"/>
  <c r="CT294" i="25"/>
  <c r="BS294" i="25"/>
  <c r="BQ294" i="25"/>
  <c r="BB295" i="25"/>
  <c r="BB263" i="26" s="1"/>
  <c r="BB264" i="26" s="1"/>
  <c r="CY294" i="25"/>
  <c r="CW294" i="25"/>
  <c r="DG293" i="25"/>
  <c r="DO293" i="25"/>
  <c r="DE293" i="25"/>
  <c r="DF293" i="25"/>
  <c r="I378" i="25" l="1"/>
  <c r="H380" i="25" s="1"/>
  <c r="I380" i="25" s="1"/>
  <c r="J37" i="18" s="1"/>
  <c r="CL293" i="25"/>
  <c r="CI295" i="25"/>
  <c r="CI298" i="25" s="1"/>
  <c r="CJ294" i="25"/>
  <c r="CK294" i="25" s="1"/>
  <c r="CK293" i="25"/>
  <c r="DG294" i="25"/>
  <c r="DG295" i="25" s="1"/>
  <c r="DF294" i="25"/>
  <c r="DF295" i="25" s="1"/>
  <c r="DE294" i="25"/>
  <c r="DE295" i="25" s="1"/>
  <c r="DO294" i="25"/>
  <c r="DO295" i="25" s="1"/>
  <c r="CI264" i="26"/>
  <c r="CD264" i="26"/>
  <c r="CF264" i="26" s="1"/>
  <c r="DC264" i="26"/>
  <c r="BE265" i="26"/>
  <c r="DK264" i="26"/>
  <c r="BY264" i="26"/>
  <c r="CA264" i="26" s="1"/>
  <c r="BO264" i="26"/>
  <c r="CS264" i="26"/>
  <c r="BM264" i="26"/>
  <c r="AV265" i="26"/>
  <c r="CY264" i="26"/>
  <c r="BN264" i="26"/>
  <c r="BQ264" i="26"/>
  <c r="BB265" i="26"/>
  <c r="BS264" i="26"/>
  <c r="CT264" i="26"/>
  <c r="CW264" i="26"/>
  <c r="DN294" i="25"/>
  <c r="DN295" i="25" s="1"/>
  <c r="DM294" i="25"/>
  <c r="DM295" i="25" s="1"/>
  <c r="H152" i="25" s="1"/>
  <c r="J155" i="25" l="1"/>
  <c r="V18" i="9"/>
  <c r="H375" i="25" s="1"/>
  <c r="I375" i="25" s="1"/>
  <c r="J375" i="25" s="1"/>
  <c r="J376" i="25" s="1"/>
  <c r="J377" i="25" s="1"/>
  <c r="J378" i="25" s="1"/>
  <c r="J35" i="18"/>
  <c r="M379" i="25"/>
  <c r="CK295" i="25"/>
  <c r="CJ264" i="26"/>
  <c r="CL264" i="26" s="1"/>
  <c r="CJ295" i="25"/>
  <c r="CM294" i="25"/>
  <c r="CM295" i="25" s="1"/>
  <c r="CL294" i="25"/>
  <c r="CL295" i="25" s="1"/>
  <c r="BQ265" i="26"/>
  <c r="CT265" i="26"/>
  <c r="BS265" i="26"/>
  <c r="BB266" i="26"/>
  <c r="BN265" i="26"/>
  <c r="CY265" i="26"/>
  <c r="CW265" i="26"/>
  <c r="DM264" i="26"/>
  <c r="DN264" i="26"/>
  <c r="BY265" i="26"/>
  <c r="CA265" i="26" s="1"/>
  <c r="DK265" i="26"/>
  <c r="BO265" i="26"/>
  <c r="CI265" i="26"/>
  <c r="BE266" i="26"/>
  <c r="CD265" i="26"/>
  <c r="CF265" i="26" s="1"/>
  <c r="DC265" i="26"/>
  <c r="CS265" i="26"/>
  <c r="BM265" i="26"/>
  <c r="AV266" i="26"/>
  <c r="DE264" i="26"/>
  <c r="DF264" i="26"/>
  <c r="DG264" i="26"/>
  <c r="DO264" i="26"/>
  <c r="J379" i="25" l="1"/>
  <c r="J380" i="25" s="1"/>
  <c r="J381" i="25" s="1"/>
  <c r="J382" i="25" s="1"/>
  <c r="I404" i="25"/>
  <c r="H432" i="25" s="1"/>
  <c r="I432" i="25" s="1"/>
  <c r="P404" i="25"/>
  <c r="P407" i="25" s="1"/>
  <c r="J32" i="18"/>
  <c r="CK264" i="26"/>
  <c r="CM264" i="26"/>
  <c r="CJ265" i="26"/>
  <c r="CM265" i="26" s="1"/>
  <c r="A164" i="25"/>
  <c r="A162" i="25"/>
  <c r="A157" i="25"/>
  <c r="A165" i="25"/>
  <c r="CS266" i="26"/>
  <c r="BM266" i="26"/>
  <c r="AV267" i="26"/>
  <c r="DN265" i="26"/>
  <c r="DM265" i="26"/>
  <c r="BB267" i="26"/>
  <c r="CY266" i="26"/>
  <c r="CT266" i="26"/>
  <c r="BN266" i="26"/>
  <c r="BS266" i="26"/>
  <c r="CW266" i="26"/>
  <c r="BQ266" i="26"/>
  <c r="DE265" i="26"/>
  <c r="DF265" i="26"/>
  <c r="DG265" i="26"/>
  <c r="DO265" i="26"/>
  <c r="DC266" i="26"/>
  <c r="DK266" i="26"/>
  <c r="BE267" i="26"/>
  <c r="BY266" i="26"/>
  <c r="CA266" i="26" s="1"/>
  <c r="BO266" i="26"/>
  <c r="CI266" i="26"/>
  <c r="CD266" i="26"/>
  <c r="CF266" i="26" s="1"/>
  <c r="P413" i="25"/>
  <c r="J383" i="25"/>
  <c r="J61" i="18" l="1"/>
  <c r="H409" i="25"/>
  <c r="I409" i="25" s="1"/>
  <c r="J66" i="18" s="1"/>
  <c r="H408" i="25"/>
  <c r="I408" i="25" s="1"/>
  <c r="J65" i="18" s="1"/>
  <c r="P409" i="25"/>
  <c r="P408" i="25"/>
  <c r="P427" i="25" s="1"/>
  <c r="H412" i="25"/>
  <c r="I412" i="25" s="1"/>
  <c r="J69" i="18" s="1"/>
  <c r="P412" i="25"/>
  <c r="H411" i="25"/>
  <c r="I411" i="25" s="1"/>
  <c r="J68" i="18" s="1"/>
  <c r="P411" i="25"/>
  <c r="H407" i="25"/>
  <c r="I407" i="25" s="1"/>
  <c r="J64" i="18" s="1"/>
  <c r="CK265" i="26"/>
  <c r="CL265" i="26"/>
  <c r="CJ266" i="26"/>
  <c r="CK266" i="26" s="1"/>
  <c r="DN266" i="26"/>
  <c r="DM266" i="26"/>
  <c r="CS267" i="26"/>
  <c r="BM267" i="26"/>
  <c r="AV268" i="26"/>
  <c r="A169" i="25"/>
  <c r="F169" i="25"/>
  <c r="A177" i="25"/>
  <c r="A172" i="25"/>
  <c r="A175" i="25"/>
  <c r="DF266" i="26"/>
  <c r="DE266" i="26"/>
  <c r="DO266" i="26"/>
  <c r="DG266" i="26"/>
  <c r="A167" i="25"/>
  <c r="A158" i="25"/>
  <c r="F158" i="25"/>
  <c r="F163" i="25"/>
  <c r="A163" i="25"/>
  <c r="F159" i="25"/>
  <c r="A159" i="25"/>
  <c r="BS267" i="26"/>
  <c r="BB268" i="26"/>
  <c r="BN267" i="26"/>
  <c r="BQ267" i="26"/>
  <c r="CY267" i="26"/>
  <c r="CT267" i="26"/>
  <c r="CW267" i="26"/>
  <c r="F160" i="25"/>
  <c r="A160" i="25"/>
  <c r="A161" i="25"/>
  <c r="DC267" i="26"/>
  <c r="BE268" i="26"/>
  <c r="DK267" i="26"/>
  <c r="CI267" i="26"/>
  <c r="CD267" i="26"/>
  <c r="CF267" i="26" s="1"/>
  <c r="BO267" i="26"/>
  <c r="BY267" i="26"/>
  <c r="CA267" i="26" s="1"/>
  <c r="A166" i="25"/>
  <c r="F165" i="25"/>
  <c r="F167" i="25" s="1"/>
  <c r="J89" i="18"/>
  <c r="M435" i="25"/>
  <c r="J384" i="25"/>
  <c r="P428" i="25" l="1"/>
  <c r="I428" i="25"/>
  <c r="J85" i="18" s="1"/>
  <c r="CM266" i="26"/>
  <c r="CL266" i="26"/>
  <c r="F162" i="25"/>
  <c r="CJ267" i="26"/>
  <c r="CK267" i="26" s="1"/>
  <c r="A171" i="25"/>
  <c r="F171" i="25"/>
  <c r="F174" i="25"/>
  <c r="A174" i="25"/>
  <c r="A186" i="25"/>
  <c r="F180" i="25"/>
  <c r="A188" i="25"/>
  <c r="A180" i="25"/>
  <c r="A183" i="25"/>
  <c r="DN267" i="26"/>
  <c r="DM267" i="26"/>
  <c r="BM268" i="26"/>
  <c r="CS268" i="26"/>
  <c r="AV269" i="26"/>
  <c r="BE269" i="26"/>
  <c r="BY268" i="26"/>
  <c r="CA268" i="26" s="1"/>
  <c r="BO268" i="26"/>
  <c r="CI268" i="26"/>
  <c r="CD268" i="26"/>
  <c r="CF268" i="26" s="1"/>
  <c r="DC268" i="26"/>
  <c r="DK268" i="26"/>
  <c r="A178" i="25"/>
  <c r="DF267" i="26"/>
  <c r="DE267" i="26"/>
  <c r="DO267" i="26"/>
  <c r="DG267" i="26"/>
  <c r="A176" i="25"/>
  <c r="F176" i="25"/>
  <c r="F178" i="25" s="1"/>
  <c r="F170" i="25"/>
  <c r="F173" i="25" s="1"/>
  <c r="A170" i="25"/>
  <c r="BS268" i="26"/>
  <c r="CY268" i="26"/>
  <c r="BN268" i="26"/>
  <c r="CW268" i="26"/>
  <c r="CT268" i="26"/>
  <c r="BB269" i="26"/>
  <c r="BQ268" i="26"/>
  <c r="A173" i="25"/>
  <c r="F179" i="25"/>
  <c r="J385" i="25"/>
  <c r="G155" i="25" l="1"/>
  <c r="I430" i="25"/>
  <c r="J87" i="18" s="1"/>
  <c r="CL267" i="26"/>
  <c r="CM267" i="26"/>
  <c r="CJ268" i="26"/>
  <c r="CM268" i="26" s="1"/>
  <c r="A181" i="25"/>
  <c r="F181" i="25"/>
  <c r="F184" i="25" s="1"/>
  <c r="A184" i="25"/>
  <c r="A187" i="25"/>
  <c r="F187" i="25"/>
  <c r="F189" i="25" s="1"/>
  <c r="CD269" i="26"/>
  <c r="CF269" i="26" s="1"/>
  <c r="CI269" i="26"/>
  <c r="BY269" i="26"/>
  <c r="CA269" i="26" s="1"/>
  <c r="DC269" i="26"/>
  <c r="BE270" i="26"/>
  <c r="BO269" i="26"/>
  <c r="DK269" i="26"/>
  <c r="BM269" i="26"/>
  <c r="AV270" i="26"/>
  <c r="CS269" i="26"/>
  <c r="A189" i="25"/>
  <c r="CY269" i="26"/>
  <c r="CT269" i="26"/>
  <c r="BN269" i="26"/>
  <c r="BB270" i="26"/>
  <c r="CW269" i="26"/>
  <c r="BQ269" i="26"/>
  <c r="BS269" i="26"/>
  <c r="DN268" i="26"/>
  <c r="DM268" i="26"/>
  <c r="DO268" i="26"/>
  <c r="DG268" i="26"/>
  <c r="DF268" i="26"/>
  <c r="DE268" i="26"/>
  <c r="F182" i="25"/>
  <c r="A182" i="25"/>
  <c r="F185" i="25"/>
  <c r="A185" i="25"/>
  <c r="J386" i="25"/>
  <c r="I447" i="25" l="1"/>
  <c r="J104" i="18" s="1"/>
  <c r="F155" i="25"/>
  <c r="CL268" i="26"/>
  <c r="CJ269" i="26"/>
  <c r="CK268" i="26"/>
  <c r="AV271" i="26"/>
  <c r="BM270" i="26"/>
  <c r="CS270" i="26"/>
  <c r="CW270" i="26"/>
  <c r="CT270" i="26"/>
  <c r="CY270" i="26"/>
  <c r="BN270" i="26"/>
  <c r="BS270" i="26"/>
  <c r="BQ270" i="26"/>
  <c r="BB271" i="26"/>
  <c r="DM269" i="26"/>
  <c r="DN269" i="26"/>
  <c r="BE271" i="26"/>
  <c r="BO270" i="26"/>
  <c r="BY270" i="26"/>
  <c r="CA270" i="26" s="1"/>
  <c r="CI270" i="26"/>
  <c r="CD270" i="26"/>
  <c r="CF270" i="26" s="1"/>
  <c r="DK270" i="26"/>
  <c r="DC270" i="26"/>
  <c r="DF269" i="26"/>
  <c r="DG269" i="26"/>
  <c r="DO269" i="26"/>
  <c r="DE269" i="26"/>
  <c r="J387" i="25"/>
  <c r="CJ270" i="26" l="1"/>
  <c r="CM270" i="26" s="1"/>
  <c r="CK269" i="26"/>
  <c r="CL269" i="26"/>
  <c r="CM269" i="26"/>
  <c r="BY271" i="26"/>
  <c r="CA271" i="26" s="1"/>
  <c r="BE272" i="26"/>
  <c r="DC271" i="26"/>
  <c r="BO271" i="26"/>
  <c r="CD271" i="26"/>
  <c r="CF271" i="26" s="1"/>
  <c r="CI271" i="26"/>
  <c r="DK271" i="26"/>
  <c r="DE270" i="26"/>
  <c r="DO270" i="26"/>
  <c r="DG270" i="26"/>
  <c r="DF270" i="26"/>
  <c r="DN270" i="26"/>
  <c r="DM270" i="26"/>
  <c r="BB272" i="26"/>
  <c r="CY271" i="26"/>
  <c r="BS271" i="26"/>
  <c r="CW271" i="26"/>
  <c r="BN271" i="26"/>
  <c r="CT271" i="26"/>
  <c r="BQ271" i="26"/>
  <c r="BM271" i="26"/>
  <c r="AV272" i="26"/>
  <c r="CS271" i="26"/>
  <c r="J388" i="25"/>
  <c r="CK270" i="26" l="1"/>
  <c r="CL270" i="26"/>
  <c r="CJ271" i="26"/>
  <c r="CM271" i="26" s="1"/>
  <c r="BN272" i="26"/>
  <c r="BS272" i="26"/>
  <c r="CW272" i="26"/>
  <c r="CT272" i="26"/>
  <c r="CY272" i="26"/>
  <c r="BQ272" i="26"/>
  <c r="BB273" i="26"/>
  <c r="DM271" i="26"/>
  <c r="DN271" i="26"/>
  <c r="CS272" i="26"/>
  <c r="BM272" i="26"/>
  <c r="AV273" i="26"/>
  <c r="DE271" i="26"/>
  <c r="DF271" i="26"/>
  <c r="DO271" i="26"/>
  <c r="DG271" i="26"/>
  <c r="DK272" i="26"/>
  <c r="DC272" i="26"/>
  <c r="BE273" i="26"/>
  <c r="CI272" i="26"/>
  <c r="BO272" i="26"/>
  <c r="CD272" i="26"/>
  <c r="CF272" i="26" s="1"/>
  <c r="BY272" i="26"/>
  <c r="CA272" i="26" s="1"/>
  <c r="J389" i="25"/>
  <c r="CK271" i="26" l="1"/>
  <c r="CJ272" i="26"/>
  <c r="CL272" i="26" s="1"/>
  <c r="CL271" i="26"/>
  <c r="BB274" i="26"/>
  <c r="BS273" i="26"/>
  <c r="CY273" i="26"/>
  <c r="BN273" i="26"/>
  <c r="CW273" i="26"/>
  <c r="CT273" i="26"/>
  <c r="BQ273" i="26"/>
  <c r="BE274" i="26"/>
  <c r="DK273" i="26"/>
  <c r="BY273" i="26"/>
  <c r="CA273" i="26" s="1"/>
  <c r="DC273" i="26"/>
  <c r="CD273" i="26"/>
  <c r="CF273" i="26" s="1"/>
  <c r="BO273" i="26"/>
  <c r="CI273" i="26"/>
  <c r="AV274" i="26"/>
  <c r="BM273" i="26"/>
  <c r="CS273" i="26"/>
  <c r="DG272" i="26"/>
  <c r="DF272" i="26"/>
  <c r="DO272" i="26"/>
  <c r="DE272" i="26"/>
  <c r="DM272" i="26"/>
  <c r="DN272" i="26"/>
  <c r="J390" i="25"/>
  <c r="CK272" i="26" l="1"/>
  <c r="CM272" i="26"/>
  <c r="CJ273" i="26"/>
  <c r="CL273" i="26" s="1"/>
  <c r="AV275" i="26"/>
  <c r="CS274" i="26"/>
  <c r="BM274" i="26"/>
  <c r="DE273" i="26"/>
  <c r="DF273" i="26"/>
  <c r="DG273" i="26"/>
  <c r="DO273" i="26"/>
  <c r="DM273" i="26"/>
  <c r="DN273" i="26"/>
  <c r="DK274" i="26"/>
  <c r="BO274" i="26"/>
  <c r="BY274" i="26"/>
  <c r="CA274" i="26" s="1"/>
  <c r="CI274" i="26"/>
  <c r="BE275" i="26"/>
  <c r="CD274" i="26"/>
  <c r="CF274" i="26" s="1"/>
  <c r="DC274" i="26"/>
  <c r="BS274" i="26"/>
  <c r="BQ274" i="26"/>
  <c r="BN274" i="26"/>
  <c r="BB275" i="26"/>
  <c r="CT274" i="26"/>
  <c r="CW274" i="26"/>
  <c r="CY274" i="26"/>
  <c r="J391" i="25"/>
  <c r="CK273" i="26" l="1"/>
  <c r="CM273" i="26"/>
  <c r="CJ274" i="26"/>
  <c r="CM274" i="26" s="1"/>
  <c r="BY275" i="26"/>
  <c r="CA275" i="26" s="1"/>
  <c r="CI275" i="26"/>
  <c r="CD275" i="26"/>
  <c r="CF275" i="26" s="1"/>
  <c r="BO275" i="26"/>
  <c r="DK275" i="26"/>
  <c r="DC275" i="26"/>
  <c r="BE276" i="26"/>
  <c r="BB276" i="26"/>
  <c r="BS275" i="26"/>
  <c r="CT275" i="26"/>
  <c r="BN275" i="26"/>
  <c r="CW275" i="26"/>
  <c r="BQ275" i="26"/>
  <c r="CY275" i="26"/>
  <c r="DM274" i="26"/>
  <c r="DN274" i="26"/>
  <c r="DF274" i="26"/>
  <c r="DG274" i="26"/>
  <c r="DE274" i="26"/>
  <c r="DO274" i="26"/>
  <c r="BM275" i="26"/>
  <c r="CS275" i="26"/>
  <c r="AV276" i="26"/>
  <c r="J392" i="25"/>
  <c r="CL274" i="26" l="1"/>
  <c r="CJ275" i="26"/>
  <c r="CK274" i="26"/>
  <c r="BE277" i="26"/>
  <c r="BY276" i="26"/>
  <c r="CA276" i="26" s="1"/>
  <c r="CI276" i="26"/>
  <c r="CD276" i="26"/>
  <c r="CF276" i="26" s="1"/>
  <c r="DC276" i="26"/>
  <c r="BO276" i="26"/>
  <c r="DK276" i="26"/>
  <c r="DO275" i="26"/>
  <c r="DE275" i="26"/>
  <c r="DG275" i="26"/>
  <c r="DF275" i="26"/>
  <c r="DN275" i="26"/>
  <c r="DM275" i="26"/>
  <c r="BM276" i="26"/>
  <c r="CS276" i="26"/>
  <c r="AV277" i="26"/>
  <c r="BN276" i="26"/>
  <c r="BQ276" i="26"/>
  <c r="BS276" i="26"/>
  <c r="BB277" i="26"/>
  <c r="CY276" i="26"/>
  <c r="CT276" i="26"/>
  <c r="CW276" i="26"/>
  <c r="J393" i="25"/>
  <c r="CJ276" i="26" l="1"/>
  <c r="CL276" i="26" s="1"/>
  <c r="CK275" i="26"/>
  <c r="CL275" i="26"/>
  <c r="CM275" i="26"/>
  <c r="DN276" i="26"/>
  <c r="DM276" i="26"/>
  <c r="BB278" i="26"/>
  <c r="CW277" i="26"/>
  <c r="CY277" i="26"/>
  <c r="BN277" i="26"/>
  <c r="CT277" i="26"/>
  <c r="BQ277" i="26"/>
  <c r="BS277" i="26"/>
  <c r="DE276" i="26"/>
  <c r="DF276" i="26"/>
  <c r="DO276" i="26"/>
  <c r="DG276" i="26"/>
  <c r="CS277" i="26"/>
  <c r="AV278" i="26"/>
  <c r="BM277" i="26"/>
  <c r="DC277" i="26"/>
  <c r="BE278" i="26"/>
  <c r="CI277" i="26"/>
  <c r="DK277" i="26"/>
  <c r="BO277" i="26"/>
  <c r="BY277" i="26"/>
  <c r="CA277" i="26" s="1"/>
  <c r="CD277" i="26"/>
  <c r="CF277" i="26" s="1"/>
  <c r="J394" i="25"/>
  <c r="CM276" i="26" l="1"/>
  <c r="CK276" i="26"/>
  <c r="CJ277" i="26"/>
  <c r="CM277" i="26" s="1"/>
  <c r="CS278" i="26"/>
  <c r="AV279" i="26"/>
  <c r="BM278" i="26"/>
  <c r="DM277" i="26"/>
  <c r="DN277" i="26"/>
  <c r="DK278" i="26"/>
  <c r="BY278" i="26"/>
  <c r="CA278" i="26" s="1"/>
  <c r="BO278" i="26"/>
  <c r="CD278" i="26"/>
  <c r="CF278" i="26" s="1"/>
  <c r="CI278" i="26"/>
  <c r="CJ278" i="26" s="1"/>
  <c r="CL278" i="26" s="1"/>
  <c r="DC278" i="26"/>
  <c r="BE279" i="26"/>
  <c r="BN278" i="26"/>
  <c r="BS278" i="26"/>
  <c r="BB279" i="26"/>
  <c r="CY278" i="26"/>
  <c r="CW278" i="26"/>
  <c r="CT278" i="26"/>
  <c r="BQ278" i="26"/>
  <c r="DG277" i="26"/>
  <c r="DO277" i="26"/>
  <c r="DF277" i="26"/>
  <c r="DE277" i="26"/>
  <c r="J395" i="25"/>
  <c r="CK277" i="26" l="1"/>
  <c r="CK278" i="26"/>
  <c r="CM278" i="26"/>
  <c r="CL277" i="26"/>
  <c r="BN279" i="26"/>
  <c r="CW279" i="26"/>
  <c r="BS279" i="26"/>
  <c r="CT279" i="26"/>
  <c r="BB280" i="26"/>
  <c r="BQ279" i="26"/>
  <c r="CY279" i="26"/>
  <c r="DM278" i="26"/>
  <c r="DN278" i="26"/>
  <c r="BO279" i="26"/>
  <c r="BE280" i="26"/>
  <c r="DC279" i="26"/>
  <c r="BY279" i="26"/>
  <c r="CA279" i="26" s="1"/>
  <c r="CD279" i="26"/>
  <c r="CF279" i="26" s="1"/>
  <c r="CI279" i="26"/>
  <c r="DK279" i="26"/>
  <c r="DO278" i="26"/>
  <c r="DF278" i="26"/>
  <c r="DE278" i="26"/>
  <c r="DG278" i="26"/>
  <c r="BM279" i="26"/>
  <c r="AV280" i="26"/>
  <c r="CS279" i="26"/>
  <c r="J396" i="25"/>
  <c r="CJ279" i="26" l="1"/>
  <c r="CL279" i="26" s="1"/>
  <c r="DM279" i="26"/>
  <c r="DN279" i="26"/>
  <c r="BQ280" i="26"/>
  <c r="BS280" i="26"/>
  <c r="BB281" i="26"/>
  <c r="CY280" i="26"/>
  <c r="BN280" i="26"/>
  <c r="CW280" i="26"/>
  <c r="CT280" i="26"/>
  <c r="DE279" i="26"/>
  <c r="DG279" i="26"/>
  <c r="DF279" i="26"/>
  <c r="DO279" i="26"/>
  <c r="CI280" i="26"/>
  <c r="CD280" i="26"/>
  <c r="CF280" i="26" s="1"/>
  <c r="DK280" i="26"/>
  <c r="BY280" i="26"/>
  <c r="CA280" i="26" s="1"/>
  <c r="BE281" i="26"/>
  <c r="BO280" i="26"/>
  <c r="DC280" i="26"/>
  <c r="CS280" i="26"/>
  <c r="BM280" i="26"/>
  <c r="AV281" i="26"/>
  <c r="J397" i="25"/>
  <c r="J398" i="25" s="1"/>
  <c r="J399" i="25" s="1"/>
  <c r="J400" i="25" s="1"/>
  <c r="J401" i="25" s="1"/>
  <c r="J402" i="25" s="1"/>
  <c r="J403" i="25" s="1"/>
  <c r="J404" i="25" s="1"/>
  <c r="J405" i="25" s="1"/>
  <c r="CK279" i="26" l="1"/>
  <c r="CM279" i="26"/>
  <c r="CJ280" i="26"/>
  <c r="CM280" i="26" s="1"/>
  <c r="BS281" i="26"/>
  <c r="BQ281" i="26"/>
  <c r="BN281" i="26"/>
  <c r="CT281" i="26"/>
  <c r="CW281" i="26"/>
  <c r="BB282" i="26"/>
  <c r="CY281" i="26"/>
  <c r="BE282" i="26"/>
  <c r="CI281" i="26"/>
  <c r="DK281" i="26"/>
  <c r="CD281" i="26"/>
  <c r="CF281" i="26" s="1"/>
  <c r="DC281" i="26"/>
  <c r="BY281" i="26"/>
  <c r="CA281" i="26" s="1"/>
  <c r="BO281" i="26"/>
  <c r="DG280" i="26"/>
  <c r="DO280" i="26"/>
  <c r="DE280" i="26"/>
  <c r="DF280" i="26"/>
  <c r="DM280" i="26"/>
  <c r="DN280" i="26"/>
  <c r="BM281" i="26"/>
  <c r="AV282" i="26"/>
  <c r="CS281" i="26"/>
  <c r="J406" i="25"/>
  <c r="J407" i="25" s="1"/>
  <c r="J408" i="25" s="1"/>
  <c r="J409" i="25" s="1"/>
  <c r="J410" i="25" s="1"/>
  <c r="J411" i="25" s="1"/>
  <c r="J412" i="25" s="1"/>
  <c r="J413" i="25" s="1"/>
  <c r="J414" i="25" s="1"/>
  <c r="J415" i="25" s="1"/>
  <c r="J416" i="25" s="1"/>
  <c r="J417" i="25" s="1"/>
  <c r="J418" i="25" s="1"/>
  <c r="J419" i="25" s="1"/>
  <c r="J420" i="25" s="1"/>
  <c r="J421" i="25" s="1"/>
  <c r="J422" i="25" s="1"/>
  <c r="J423" i="25" s="1"/>
  <c r="J424" i="25" s="1"/>
  <c r="J425" i="25" s="1"/>
  <c r="J426" i="25" s="1"/>
  <c r="J427" i="25" s="1"/>
  <c r="J428" i="25" s="1"/>
  <c r="J429" i="25" s="1"/>
  <c r="J430" i="25" s="1"/>
  <c r="J431" i="25" s="1"/>
  <c r="J432" i="25" s="1"/>
  <c r="J433" i="25" s="1"/>
  <c r="J434" i="25" s="1"/>
  <c r="J435" i="25" s="1"/>
  <c r="J436" i="25" s="1"/>
  <c r="J437" i="25" s="1"/>
  <c r="J438" i="25" s="1"/>
  <c r="J439" i="25" s="1"/>
  <c r="J440" i="25" s="1"/>
  <c r="J441" i="25" s="1"/>
  <c r="J442" i="25" s="1"/>
  <c r="J443" i="25" s="1"/>
  <c r="J444" i="25" s="1"/>
  <c r="J445" i="25" s="1"/>
  <c r="J446" i="25" s="1"/>
  <c r="J447" i="25" s="1"/>
  <c r="J448" i="25" s="1"/>
  <c r="J449" i="25" s="1"/>
  <c r="J450" i="25" s="1"/>
  <c r="J451" i="25" s="1"/>
  <c r="J452" i="25" s="1"/>
  <c r="J453" i="25" s="1"/>
  <c r="J454" i="25" s="1"/>
  <c r="J455" i="25" s="1"/>
  <c r="J456" i="25" s="1"/>
  <c r="J457" i="25" s="1"/>
  <c r="P58" i="25" s="1"/>
  <c r="CL280" i="26" l="1"/>
  <c r="CK280" i="26"/>
  <c r="CJ281" i="26"/>
  <c r="BM282" i="26"/>
  <c r="AV283" i="26"/>
  <c r="CS282" i="26"/>
  <c r="BB283" i="26"/>
  <c r="CY282" i="26"/>
  <c r="BN282" i="26"/>
  <c r="BS282" i="26"/>
  <c r="CT282" i="26"/>
  <c r="BQ282" i="26"/>
  <c r="CW282" i="26"/>
  <c r="DG281" i="26"/>
  <c r="DE281" i="26"/>
  <c r="DF281" i="26"/>
  <c r="DO281" i="26"/>
  <c r="DM281" i="26"/>
  <c r="DN281" i="26"/>
  <c r="CI282" i="26"/>
  <c r="DK282" i="26"/>
  <c r="BE283" i="26"/>
  <c r="BO282" i="26"/>
  <c r="DC282" i="26"/>
  <c r="BY282" i="26"/>
  <c r="CA282" i="26" s="1"/>
  <c r="CD282" i="26"/>
  <c r="CF282" i="26" s="1"/>
  <c r="A66" i="25"/>
  <c r="A64" i="25"/>
  <c r="J64" i="25"/>
  <c r="P64" i="25"/>
  <c r="I64" i="25"/>
  <c r="H64" i="25"/>
  <c r="H65" i="25"/>
  <c r="A65" i="25"/>
  <c r="I65" i="25"/>
  <c r="J65" i="25"/>
  <c r="P65" i="25"/>
  <c r="I66" i="25"/>
  <c r="H66" i="25"/>
  <c r="P66" i="25"/>
  <c r="J66" i="25"/>
  <c r="J67" i="25"/>
  <c r="H67" i="25"/>
  <c r="P67" i="25"/>
  <c r="A67" i="25"/>
  <c r="I67" i="25"/>
  <c r="P68" i="25"/>
  <c r="H68" i="25"/>
  <c r="J68" i="25"/>
  <c r="A68" i="25"/>
  <c r="I68" i="25"/>
  <c r="H114" i="25"/>
  <c r="H69" i="25"/>
  <c r="A70" i="25"/>
  <c r="J71" i="25"/>
  <c r="H87" i="25"/>
  <c r="J81" i="25"/>
  <c r="J69" i="25"/>
  <c r="J90" i="25"/>
  <c r="A79" i="25"/>
  <c r="A92" i="25"/>
  <c r="J92" i="25"/>
  <c r="I85" i="25"/>
  <c r="J82" i="25"/>
  <c r="P86" i="25"/>
  <c r="H81" i="25"/>
  <c r="I93" i="25"/>
  <c r="H91" i="25"/>
  <c r="I92" i="25"/>
  <c r="A91" i="25"/>
  <c r="P71" i="25"/>
  <c r="J72" i="25"/>
  <c r="P88" i="25"/>
  <c r="H73" i="25"/>
  <c r="A69" i="25"/>
  <c r="A84" i="25"/>
  <c r="I88" i="25"/>
  <c r="H86" i="25"/>
  <c r="P90" i="25"/>
  <c r="H84" i="25"/>
  <c r="I75" i="25"/>
  <c r="J78" i="25"/>
  <c r="I84" i="25"/>
  <c r="A83" i="25"/>
  <c r="H93" i="25"/>
  <c r="J83" i="25"/>
  <c r="H74" i="25"/>
  <c r="P82" i="25"/>
  <c r="P85" i="25"/>
  <c r="H90" i="25"/>
  <c r="I76" i="25"/>
  <c r="J87" i="25"/>
  <c r="H92" i="25"/>
  <c r="H83" i="25"/>
  <c r="A78" i="25"/>
  <c r="H77" i="25"/>
  <c r="J93" i="25"/>
  <c r="I77" i="25"/>
  <c r="I89" i="25"/>
  <c r="P73" i="25"/>
  <c r="P77" i="25"/>
  <c r="J84" i="25"/>
  <c r="J91" i="25"/>
  <c r="P74" i="25"/>
  <c r="H75" i="25"/>
  <c r="A93" i="25"/>
  <c r="P87" i="25"/>
  <c r="A88" i="25"/>
  <c r="I73" i="25"/>
  <c r="H70" i="25"/>
  <c r="J76" i="25"/>
  <c r="I90" i="25"/>
  <c r="A90" i="25"/>
  <c r="A75" i="25"/>
  <c r="A72" i="25"/>
  <c r="P93" i="25"/>
  <c r="J79" i="25"/>
  <c r="P92" i="25"/>
  <c r="P72" i="25"/>
  <c r="P84" i="25"/>
  <c r="A89" i="25"/>
  <c r="H79" i="25"/>
  <c r="J88" i="25"/>
  <c r="J73" i="25"/>
  <c r="I72" i="25"/>
  <c r="A86" i="25"/>
  <c r="J89" i="25"/>
  <c r="J80" i="25"/>
  <c r="A80" i="25"/>
  <c r="H88" i="25"/>
  <c r="P80" i="25"/>
  <c r="I86" i="25"/>
  <c r="J77" i="25"/>
  <c r="J85" i="25"/>
  <c r="P79" i="25"/>
  <c r="I91" i="25"/>
  <c r="A73" i="25"/>
  <c r="A82" i="25"/>
  <c r="J75" i="25"/>
  <c r="H80" i="25"/>
  <c r="P69" i="25"/>
  <c r="P75" i="25"/>
  <c r="A85" i="25"/>
  <c r="I71" i="25"/>
  <c r="H72" i="25"/>
  <c r="I70" i="25"/>
  <c r="I81" i="25"/>
  <c r="H89" i="25"/>
  <c r="H71" i="25"/>
  <c r="I80" i="25"/>
  <c r="P78" i="25"/>
  <c r="A71" i="25"/>
  <c r="P83" i="25"/>
  <c r="A76" i="25"/>
  <c r="J86" i="25"/>
  <c r="H82" i="25"/>
  <c r="P76" i="25"/>
  <c r="A77" i="25"/>
  <c r="I82" i="25"/>
  <c r="A74" i="25"/>
  <c r="P81" i="25"/>
  <c r="P89" i="25"/>
  <c r="A87" i="25"/>
  <c r="I78" i="25"/>
  <c r="I83" i="25"/>
  <c r="P91" i="25"/>
  <c r="H76" i="25"/>
  <c r="J74" i="25"/>
  <c r="I79" i="25"/>
  <c r="I69" i="25"/>
  <c r="H85" i="25"/>
  <c r="P70" i="25"/>
  <c r="H78" i="25"/>
  <c r="I74" i="25"/>
  <c r="A81" i="25"/>
  <c r="J70" i="25"/>
  <c r="I87" i="25"/>
  <c r="P94" i="25"/>
  <c r="I94" i="25"/>
  <c r="A94" i="25"/>
  <c r="H94" i="25"/>
  <c r="J94" i="25"/>
  <c r="J108" i="25"/>
  <c r="P117" i="25"/>
  <c r="J132" i="25"/>
  <c r="P131" i="25"/>
  <c r="J121" i="25"/>
  <c r="J124" i="25"/>
  <c r="P143" i="25"/>
  <c r="H102" i="25"/>
  <c r="H138" i="25"/>
  <c r="P112" i="25"/>
  <c r="P101" i="25"/>
  <c r="J106" i="25"/>
  <c r="H139" i="25"/>
  <c r="J114" i="25"/>
  <c r="P121" i="25"/>
  <c r="P106" i="25"/>
  <c r="H136" i="25"/>
  <c r="P110" i="25"/>
  <c r="J131" i="25"/>
  <c r="A119" i="25"/>
  <c r="H130" i="25"/>
  <c r="I116" i="25"/>
  <c r="I108" i="25"/>
  <c r="P138" i="25"/>
  <c r="A137" i="25"/>
  <c r="H113" i="25"/>
  <c r="P108" i="25"/>
  <c r="A142" i="25"/>
  <c r="J99" i="25"/>
  <c r="H104" i="25"/>
  <c r="H110" i="25"/>
  <c r="J109" i="25"/>
  <c r="H111" i="25"/>
  <c r="I98" i="25"/>
  <c r="A108" i="25"/>
  <c r="J143" i="25"/>
  <c r="J126" i="25"/>
  <c r="I139" i="25"/>
  <c r="H143" i="25"/>
  <c r="P142" i="25"/>
  <c r="I118" i="25"/>
  <c r="P120" i="25"/>
  <c r="P103" i="25"/>
  <c r="J110" i="25"/>
  <c r="P119" i="25"/>
  <c r="J127" i="25"/>
  <c r="P125" i="25"/>
  <c r="H97" i="25"/>
  <c r="H129" i="25"/>
  <c r="P124" i="25"/>
  <c r="H101" i="25"/>
  <c r="H140" i="25"/>
  <c r="P141" i="25"/>
  <c r="I128" i="25"/>
  <c r="H134" i="25"/>
  <c r="A98" i="25"/>
  <c r="I143" i="25"/>
  <c r="A118" i="25"/>
  <c r="I122" i="25"/>
  <c r="I123" i="25"/>
  <c r="P122" i="25"/>
  <c r="A111" i="25"/>
  <c r="P114" i="25"/>
  <c r="H135" i="25"/>
  <c r="I119" i="25"/>
  <c r="H124" i="25"/>
  <c r="J142" i="25"/>
  <c r="J123" i="25"/>
  <c r="J140" i="25"/>
  <c r="I103" i="25"/>
  <c r="A138" i="25"/>
  <c r="H105" i="25"/>
  <c r="P111" i="25"/>
  <c r="A123" i="25"/>
  <c r="H99" i="25"/>
  <c r="I113" i="25"/>
  <c r="J97" i="25"/>
  <c r="I130" i="25"/>
  <c r="I101" i="25"/>
  <c r="I129" i="25"/>
  <c r="I142" i="25"/>
  <c r="H131" i="25"/>
  <c r="H141" i="25"/>
  <c r="A120" i="25"/>
  <c r="J129" i="25"/>
  <c r="J104" i="25"/>
  <c r="H128" i="25"/>
  <c r="P118" i="25"/>
  <c r="P130" i="25"/>
  <c r="J125" i="25"/>
  <c r="H121" i="25"/>
  <c r="I110" i="25"/>
  <c r="H108" i="25"/>
  <c r="J96" i="25"/>
  <c r="J138" i="25"/>
  <c r="J141" i="25"/>
  <c r="J105" i="25"/>
  <c r="A99" i="25"/>
  <c r="I107" i="25"/>
  <c r="H132" i="25"/>
  <c r="P115" i="25"/>
  <c r="A126" i="25"/>
  <c r="P128" i="25"/>
  <c r="J116" i="25"/>
  <c r="A102" i="25"/>
  <c r="H122" i="25"/>
  <c r="P107" i="25"/>
  <c r="P97" i="25"/>
  <c r="J112" i="25"/>
  <c r="J130" i="25"/>
  <c r="I121" i="25"/>
  <c r="H126" i="25"/>
  <c r="H137" i="25"/>
  <c r="J119" i="25"/>
  <c r="J95" i="25"/>
  <c r="J144" i="25"/>
  <c r="J137" i="25"/>
  <c r="J102" i="25"/>
  <c r="H120" i="25"/>
  <c r="I99" i="25"/>
  <c r="J117" i="25"/>
  <c r="A131" i="25"/>
  <c r="H144" i="25"/>
  <c r="A128" i="25"/>
  <c r="J113" i="25"/>
  <c r="J128" i="25"/>
  <c r="J103" i="25"/>
  <c r="H116" i="25"/>
  <c r="I96" i="25"/>
  <c r="A133" i="25"/>
  <c r="A106" i="25"/>
  <c r="P105" i="25"/>
  <c r="I104" i="25"/>
  <c r="A129" i="25"/>
  <c r="I127" i="25"/>
  <c r="P134" i="25"/>
  <c r="P133" i="25"/>
  <c r="H109" i="25"/>
  <c r="A135" i="25"/>
  <c r="I105" i="25"/>
  <c r="J122" i="25"/>
  <c r="J139" i="25"/>
  <c r="A134" i="25"/>
  <c r="P140" i="25"/>
  <c r="J107" i="25"/>
  <c r="I135" i="25"/>
  <c r="I136" i="25"/>
  <c r="A96" i="25"/>
  <c r="A124" i="25"/>
  <c r="H117" i="25"/>
  <c r="A130" i="25"/>
  <c r="H106" i="25"/>
  <c r="I125" i="25"/>
  <c r="H100" i="25"/>
  <c r="I117" i="25"/>
  <c r="A121" i="25"/>
  <c r="A112" i="25"/>
  <c r="A113" i="25"/>
  <c r="I111" i="25"/>
  <c r="I109" i="25"/>
  <c r="H103" i="25"/>
  <c r="J134" i="25"/>
  <c r="I115" i="25"/>
  <c r="A103" i="25"/>
  <c r="I106" i="25"/>
  <c r="A115" i="25"/>
  <c r="H115" i="25"/>
  <c r="A107" i="25"/>
  <c r="P104" i="25"/>
  <c r="A144" i="25"/>
  <c r="J133" i="25"/>
  <c r="I126" i="25"/>
  <c r="P136" i="25"/>
  <c r="A97" i="25"/>
  <c r="A143" i="25"/>
  <c r="A132" i="25"/>
  <c r="I132" i="25"/>
  <c r="A101" i="25"/>
  <c r="I137" i="25"/>
  <c r="A110" i="25"/>
  <c r="P123" i="25"/>
  <c r="I124" i="25"/>
  <c r="A139" i="25"/>
  <c r="I141" i="25"/>
  <c r="H107" i="25"/>
  <c r="P98" i="25"/>
  <c r="H98" i="25"/>
  <c r="H96" i="25"/>
  <c r="P127" i="25"/>
  <c r="P102" i="25"/>
  <c r="A117" i="25"/>
  <c r="J98" i="25"/>
  <c r="H95" i="25"/>
  <c r="A122" i="25"/>
  <c r="P126" i="25"/>
  <c r="I144" i="25"/>
  <c r="J115" i="25"/>
  <c r="J118" i="25"/>
  <c r="P139" i="25"/>
  <c r="J136" i="25"/>
  <c r="I138" i="25"/>
  <c r="P144" i="25"/>
  <c r="A105" i="25"/>
  <c r="J101" i="25"/>
  <c r="I100" i="25"/>
  <c r="I120" i="25"/>
  <c r="A136" i="25"/>
  <c r="P137" i="25"/>
  <c r="A109" i="25"/>
  <c r="H142" i="25"/>
  <c r="P132" i="25"/>
  <c r="I134" i="25"/>
  <c r="I140" i="25"/>
  <c r="I102" i="25"/>
  <c r="P129" i="25"/>
  <c r="A141" i="25"/>
  <c r="I112" i="25"/>
  <c r="H119" i="25"/>
  <c r="H112" i="25"/>
  <c r="P135" i="25"/>
  <c r="H133" i="25"/>
  <c r="I131" i="25"/>
  <c r="P109" i="25"/>
  <c r="H125" i="25"/>
  <c r="A127" i="25"/>
  <c r="A140" i="25"/>
  <c r="A116" i="25"/>
  <c r="P96" i="25"/>
  <c r="A125" i="25"/>
  <c r="P113" i="25"/>
  <c r="A100" i="25"/>
  <c r="P95" i="25"/>
  <c r="P116" i="25"/>
  <c r="P100" i="25"/>
  <c r="A114" i="25"/>
  <c r="I95" i="25"/>
  <c r="J111" i="25"/>
  <c r="I133" i="25"/>
  <c r="I114" i="25"/>
  <c r="J135" i="25"/>
  <c r="H118" i="25"/>
  <c r="P99" i="25"/>
  <c r="H123" i="25"/>
  <c r="J120" i="25"/>
  <c r="I97" i="25"/>
  <c r="J100" i="25"/>
  <c r="H127" i="25"/>
  <c r="A104" i="25"/>
  <c r="A95" i="25"/>
  <c r="CJ282" i="26" l="1"/>
  <c r="CL281" i="26"/>
  <c r="CK281" i="26"/>
  <c r="CM281" i="26"/>
  <c r="DG282" i="26"/>
  <c r="DE282" i="26"/>
  <c r="DF282" i="26"/>
  <c r="DO282" i="26"/>
  <c r="DC283" i="26"/>
  <c r="BY283" i="26"/>
  <c r="CA283" i="26" s="1"/>
  <c r="CI283" i="26"/>
  <c r="BE284" i="26"/>
  <c r="DK283" i="26"/>
  <c r="CD283" i="26"/>
  <c r="CF283" i="26" s="1"/>
  <c r="BO283" i="26"/>
  <c r="BS283" i="26"/>
  <c r="BQ283" i="26"/>
  <c r="CW283" i="26"/>
  <c r="CT283" i="26"/>
  <c r="BN283" i="26"/>
  <c r="CY283" i="26"/>
  <c r="BB284" i="26"/>
  <c r="DN282" i="26"/>
  <c r="DM282" i="26"/>
  <c r="BM283" i="26"/>
  <c r="CS283" i="26"/>
  <c r="AV284" i="26"/>
  <c r="CJ283" i="26" l="1"/>
  <c r="CK283" i="26" s="1"/>
  <c r="CL282" i="26"/>
  <c r="CM282" i="26"/>
  <c r="CK282" i="26"/>
  <c r="DE283" i="26"/>
  <c r="DF283" i="26"/>
  <c r="DO283" i="26"/>
  <c r="DG283" i="26"/>
  <c r="BM284" i="26"/>
  <c r="CS284" i="26"/>
  <c r="AV285" i="26"/>
  <c r="CY284" i="26"/>
  <c r="CT284" i="26"/>
  <c r="BB285" i="26"/>
  <c r="BS284" i="26"/>
  <c r="BN284" i="26"/>
  <c r="BQ284" i="26"/>
  <c r="CW284" i="26"/>
  <c r="DM283" i="26"/>
  <c r="DN283" i="26"/>
  <c r="BE285" i="26"/>
  <c r="CI284" i="26"/>
  <c r="DK284" i="26"/>
  <c r="BY284" i="26"/>
  <c r="CA284" i="26" s="1"/>
  <c r="BO284" i="26"/>
  <c r="DC284" i="26"/>
  <c r="CD284" i="26"/>
  <c r="CF284" i="26" s="1"/>
  <c r="CM283" i="26" l="1"/>
  <c r="CL283" i="26"/>
  <c r="CJ284" i="26"/>
  <c r="CK284" i="26" s="1"/>
  <c r="DG284" i="26"/>
  <c r="DE284" i="26"/>
  <c r="DF284" i="26"/>
  <c r="DO284" i="26"/>
  <c r="BM285" i="26"/>
  <c r="AV286" i="26"/>
  <c r="CS285" i="26"/>
  <c r="DM284" i="26"/>
  <c r="DN284" i="26"/>
  <c r="DK285" i="26"/>
  <c r="BY285" i="26"/>
  <c r="CA285" i="26" s="1"/>
  <c r="BO285" i="26"/>
  <c r="DC285" i="26"/>
  <c r="BE286" i="26"/>
  <c r="CD285" i="26"/>
  <c r="CF285" i="26" s="1"/>
  <c r="CI285" i="26"/>
  <c r="BN285" i="26"/>
  <c r="BB286" i="26"/>
  <c r="BQ285" i="26"/>
  <c r="BS285" i="26"/>
  <c r="CW285" i="26"/>
  <c r="CY285" i="26"/>
  <c r="CT285" i="26"/>
  <c r="CM284" i="26" l="1"/>
  <c r="CJ285" i="26"/>
  <c r="CL284" i="26"/>
  <c r="DF285" i="26"/>
  <c r="DO285" i="26"/>
  <c r="DG285" i="26"/>
  <c r="DE285" i="26"/>
  <c r="BM286" i="26"/>
  <c r="AV287" i="26"/>
  <c r="CS286" i="26"/>
  <c r="CD286" i="26"/>
  <c r="CF286" i="26" s="1"/>
  <c r="CI286" i="26"/>
  <c r="CJ286" i="26" s="1"/>
  <c r="CL286" i="26" s="1"/>
  <c r="DC286" i="26"/>
  <c r="DK286" i="26"/>
  <c r="BE287" i="26"/>
  <c r="BY286" i="26"/>
  <c r="CA286" i="26" s="1"/>
  <c r="BO286" i="26"/>
  <c r="BN286" i="26"/>
  <c r="CW286" i="26"/>
  <c r="BB287" i="26"/>
  <c r="BS286" i="26"/>
  <c r="BQ286" i="26"/>
  <c r="CT286" i="26"/>
  <c r="CY286" i="26"/>
  <c r="DM285" i="26"/>
  <c r="DN285" i="26"/>
  <c r="CK286" i="26" l="1"/>
  <c r="CM286" i="26"/>
  <c r="CM285" i="26"/>
  <c r="CK285" i="26"/>
  <c r="CL285" i="26"/>
  <c r="BM287" i="26"/>
  <c r="CS287" i="26"/>
  <c r="AV288" i="26"/>
  <c r="CD287" i="26"/>
  <c r="CF287" i="26" s="1"/>
  <c r="DK287" i="26"/>
  <c r="CI287" i="26"/>
  <c r="DC287" i="26"/>
  <c r="BO287" i="26"/>
  <c r="BE288" i="26"/>
  <c r="BY287" i="26"/>
  <c r="CA287" i="26" s="1"/>
  <c r="DM286" i="26"/>
  <c r="DN286" i="26"/>
  <c r="DO286" i="26"/>
  <c r="DG286" i="26"/>
  <c r="DF286" i="26"/>
  <c r="DE286" i="26"/>
  <c r="BN287" i="26"/>
  <c r="CT287" i="26"/>
  <c r="CW287" i="26"/>
  <c r="BS287" i="26"/>
  <c r="CY287" i="26"/>
  <c r="BB288" i="26"/>
  <c r="BQ287" i="26"/>
  <c r="CJ287" i="26" l="1"/>
  <c r="CK287" i="26" s="1"/>
  <c r="BS288" i="26"/>
  <c r="CW288" i="26"/>
  <c r="BN288" i="26"/>
  <c r="BQ288" i="26"/>
  <c r="BB289" i="26"/>
  <c r="CY288" i="26"/>
  <c r="CT288" i="26"/>
  <c r="DG287" i="26"/>
  <c r="DE287" i="26"/>
  <c r="DF287" i="26"/>
  <c r="DO287" i="26"/>
  <c r="DN287" i="26"/>
  <c r="DM287" i="26"/>
  <c r="AV289" i="26"/>
  <c r="BM288" i="26"/>
  <c r="CS288" i="26"/>
  <c r="CI288" i="26"/>
  <c r="BO288" i="26"/>
  <c r="DK288" i="26"/>
  <c r="BY288" i="26"/>
  <c r="CA288" i="26" s="1"/>
  <c r="CD288" i="26"/>
  <c r="CF288" i="26" s="1"/>
  <c r="DC288" i="26"/>
  <c r="BE289" i="26"/>
  <c r="CM287" i="26" l="1"/>
  <c r="CJ288" i="26"/>
  <c r="CL287" i="26"/>
  <c r="DK289" i="26"/>
  <c r="BE290" i="26"/>
  <c r="BO289" i="26"/>
  <c r="DC289" i="26"/>
  <c r="CD289" i="26"/>
  <c r="CF289" i="26" s="1"/>
  <c r="BY289" i="26"/>
  <c r="CA289" i="26" s="1"/>
  <c r="CI289" i="26"/>
  <c r="BS289" i="26"/>
  <c r="CY289" i="26"/>
  <c r="BN289" i="26"/>
  <c r="BQ289" i="26"/>
  <c r="CW289" i="26"/>
  <c r="BB290" i="26"/>
  <c r="CT289" i="26"/>
  <c r="DM288" i="26"/>
  <c r="DN288" i="26"/>
  <c r="CS289" i="26"/>
  <c r="BM289" i="26"/>
  <c r="AV290" i="26"/>
  <c r="DE288" i="26"/>
  <c r="DF288" i="26"/>
  <c r="DG288" i="26"/>
  <c r="DO288" i="26"/>
  <c r="CJ289" i="26" l="1"/>
  <c r="CM289" i="26" s="1"/>
  <c r="CL288" i="26"/>
  <c r="CK288" i="26"/>
  <c r="CM288" i="26"/>
  <c r="BS290" i="26"/>
  <c r="BB291" i="26"/>
  <c r="BQ290" i="26"/>
  <c r="BN290" i="26"/>
  <c r="CT290" i="26"/>
  <c r="CY290" i="26"/>
  <c r="CW290" i="26"/>
  <c r="DE289" i="26"/>
  <c r="DF289" i="26"/>
  <c r="DO289" i="26"/>
  <c r="DG289" i="26"/>
  <c r="CI290" i="26"/>
  <c r="DK290" i="26"/>
  <c r="BY290" i="26"/>
  <c r="CA290" i="26" s="1"/>
  <c r="DC290" i="26"/>
  <c r="BE291" i="26"/>
  <c r="BO290" i="26"/>
  <c r="CD290" i="26"/>
  <c r="CF290" i="26" s="1"/>
  <c r="BM290" i="26"/>
  <c r="CS290" i="26"/>
  <c r="AV291" i="26"/>
  <c r="DN289" i="26"/>
  <c r="DM289" i="26"/>
  <c r="CK289" i="26" l="1"/>
  <c r="CL289" i="26"/>
  <c r="CJ290" i="26"/>
  <c r="CL290" i="26" s="1"/>
  <c r="DE290" i="26"/>
  <c r="DG290" i="26"/>
  <c r="DO290" i="26"/>
  <c r="DF290" i="26"/>
  <c r="DM290" i="26"/>
  <c r="DN290" i="26"/>
  <c r="BM291" i="26"/>
  <c r="CS291" i="26"/>
  <c r="AV292" i="26"/>
  <c r="BS291" i="26"/>
  <c r="BN291" i="26"/>
  <c r="CT291" i="26"/>
  <c r="CW291" i="26"/>
  <c r="BQ291" i="26"/>
  <c r="CY291" i="26"/>
  <c r="BB292" i="26"/>
  <c r="DC291" i="26"/>
  <c r="CD291" i="26"/>
  <c r="CF291" i="26" s="1"/>
  <c r="BY291" i="26"/>
  <c r="CA291" i="26" s="1"/>
  <c r="BE292" i="26"/>
  <c r="DK291" i="26"/>
  <c r="BO291" i="26"/>
  <c r="CI291" i="26"/>
  <c r="CK290" i="26" l="1"/>
  <c r="CJ291" i="26"/>
  <c r="CM291" i="26" s="1"/>
  <c r="CM290" i="26"/>
  <c r="CI292" i="26"/>
  <c r="BE293" i="26"/>
  <c r="BY292" i="26"/>
  <c r="CA292" i="26" s="1"/>
  <c r="CD292" i="26"/>
  <c r="CF292" i="26" s="1"/>
  <c r="BO292" i="26"/>
  <c r="DK292" i="26"/>
  <c r="DC292" i="26"/>
  <c r="DG291" i="26"/>
  <c r="DF291" i="26"/>
  <c r="DO291" i="26"/>
  <c r="DE291" i="26"/>
  <c r="DM291" i="26"/>
  <c r="DN291" i="26"/>
  <c r="BS292" i="26"/>
  <c r="CT292" i="26"/>
  <c r="BN292" i="26"/>
  <c r="CY292" i="26"/>
  <c r="BQ292" i="26"/>
  <c r="BB293" i="26"/>
  <c r="CW292" i="26"/>
  <c r="BM292" i="26"/>
  <c r="AV293" i="26"/>
  <c r="CS292" i="26"/>
  <c r="CK291" i="26" l="1"/>
  <c r="CL291" i="26"/>
  <c r="CJ292" i="26"/>
  <c r="CK292" i="26" s="1"/>
  <c r="DE292" i="26"/>
  <c r="DF292" i="26"/>
  <c r="DG292" i="26"/>
  <c r="DO292" i="26"/>
  <c r="DN292" i="26"/>
  <c r="DM292" i="26"/>
  <c r="BQ293" i="26"/>
  <c r="BS293" i="26"/>
  <c r="CT293" i="26"/>
  <c r="BB294" i="26"/>
  <c r="BN293" i="26"/>
  <c r="CY293" i="26"/>
  <c r="CW293" i="26"/>
  <c r="AV294" i="26"/>
  <c r="CS293" i="26"/>
  <c r="BM293" i="26"/>
  <c r="BE294" i="26"/>
  <c r="DK293" i="26"/>
  <c r="BO293" i="26"/>
  <c r="CI293" i="26"/>
  <c r="DC293" i="26"/>
  <c r="BY293" i="26"/>
  <c r="CA293" i="26" s="1"/>
  <c r="CD293" i="26"/>
  <c r="CF293" i="26" s="1"/>
  <c r="CL292" i="26" l="1"/>
  <c r="CJ293" i="26"/>
  <c r="CM293" i="26" s="1"/>
  <c r="CM292" i="26"/>
  <c r="DG293" i="26"/>
  <c r="DE293" i="26"/>
  <c r="DF293" i="26"/>
  <c r="DO293" i="26"/>
  <c r="CS294" i="26"/>
  <c r="AV295" i="26"/>
  <c r="AV263" i="27" s="1"/>
  <c r="AV264" i="27" s="1"/>
  <c r="BM294" i="26"/>
  <c r="DM293" i="26"/>
  <c r="DN293" i="26"/>
  <c r="DK294" i="26"/>
  <c r="BE295" i="26"/>
  <c r="BE263" i="27" s="1"/>
  <c r="BE264" i="27" s="1"/>
  <c r="BO294" i="26"/>
  <c r="BY294" i="26"/>
  <c r="CA294" i="26" s="1"/>
  <c r="CA295" i="26" s="1"/>
  <c r="CA298" i="26" s="1"/>
  <c r="DC294" i="26"/>
  <c r="CD294" i="26"/>
  <c r="CF294" i="26" s="1"/>
  <c r="CF295" i="26" s="1"/>
  <c r="CF298" i="26" s="1"/>
  <c r="CI294" i="26"/>
  <c r="CJ294" i="26" s="1"/>
  <c r="BS294" i="26"/>
  <c r="BQ294" i="26"/>
  <c r="BB295" i="26"/>
  <c r="BB263" i="27" s="1"/>
  <c r="BB264" i="27" s="1"/>
  <c r="BN294" i="26"/>
  <c r="CW294" i="26"/>
  <c r="CT294" i="26"/>
  <c r="CY294" i="26"/>
  <c r="I378" i="26" l="1"/>
  <c r="K35" i="18" s="1"/>
  <c r="CJ295" i="26"/>
  <c r="CI295" i="26"/>
  <c r="CI298" i="26" s="1"/>
  <c r="CK293" i="26"/>
  <c r="CL293" i="26"/>
  <c r="CK294" i="26"/>
  <c r="CM294" i="26"/>
  <c r="CM295" i="26" s="1"/>
  <c r="CL294" i="26"/>
  <c r="DE294" i="26"/>
  <c r="DE295" i="26" s="1"/>
  <c r="DO294" i="26"/>
  <c r="DO295" i="26" s="1"/>
  <c r="DF294" i="26"/>
  <c r="DF295" i="26" s="1"/>
  <c r="DG294" i="26"/>
  <c r="DG295" i="26" s="1"/>
  <c r="BM264" i="27"/>
  <c r="CS264" i="27"/>
  <c r="AV265" i="27"/>
  <c r="BQ264" i="27"/>
  <c r="BB265" i="27"/>
  <c r="BS264" i="27"/>
  <c r="CW264" i="27"/>
  <c r="BN264" i="27"/>
  <c r="CY264" i="27"/>
  <c r="CT264" i="27"/>
  <c r="BO264" i="27"/>
  <c r="CI264" i="27"/>
  <c r="CJ264" i="27" s="1"/>
  <c r="CL264" i="27" s="1"/>
  <c r="DC264" i="27"/>
  <c r="BE265" i="27"/>
  <c r="CD264" i="27"/>
  <c r="CF264" i="27" s="1"/>
  <c r="BY264" i="27"/>
  <c r="CA264" i="27" s="1"/>
  <c r="DK264" i="27"/>
  <c r="DN294" i="26"/>
  <c r="DN295" i="26" s="1"/>
  <c r="DM294" i="26"/>
  <c r="DM295" i="26" s="1"/>
  <c r="H152" i="26" l="1"/>
  <c r="J155" i="26"/>
  <c r="H380" i="26"/>
  <c r="I380" i="26" s="1"/>
  <c r="W18" i="9" s="1"/>
  <c r="H375" i="26" s="1"/>
  <c r="I375" i="26" s="1"/>
  <c r="CK295" i="26"/>
  <c r="CL295" i="26"/>
  <c r="M379" i="26"/>
  <c r="CM264" i="27"/>
  <c r="CK264" i="27"/>
  <c r="DM264" i="27"/>
  <c r="DN264" i="27"/>
  <c r="BO265" i="27"/>
  <c r="DC265" i="27"/>
  <c r="CI265" i="27"/>
  <c r="CD265" i="27"/>
  <c r="CF265" i="27" s="1"/>
  <c r="DK265" i="27"/>
  <c r="BY265" i="27"/>
  <c r="CA265" i="27" s="1"/>
  <c r="BE266" i="27"/>
  <c r="DO264" i="27"/>
  <c r="DE264" i="27"/>
  <c r="DF264" i="27"/>
  <c r="DG264" i="27"/>
  <c r="BQ265" i="27"/>
  <c r="CT265" i="27"/>
  <c r="BN265" i="27"/>
  <c r="CY265" i="27"/>
  <c r="BS265" i="27"/>
  <c r="CW265" i="27"/>
  <c r="BB266" i="27"/>
  <c r="BM265" i="27"/>
  <c r="AV266" i="27"/>
  <c r="CS265" i="27"/>
  <c r="K37" i="18" l="1"/>
  <c r="CJ265" i="27"/>
  <c r="A164" i="26"/>
  <c r="A157" i="26"/>
  <c r="A162" i="26"/>
  <c r="A165" i="26"/>
  <c r="BS266" i="27"/>
  <c r="BB267" i="27"/>
  <c r="CY266" i="27"/>
  <c r="BQ266" i="27"/>
  <c r="CW266" i="27"/>
  <c r="CT266" i="27"/>
  <c r="BN266" i="27"/>
  <c r="DM265" i="27"/>
  <c r="DN265" i="27"/>
  <c r="BM266" i="27"/>
  <c r="CS266" i="27"/>
  <c r="AV267" i="27"/>
  <c r="DE265" i="27"/>
  <c r="DG265" i="27"/>
  <c r="DO265" i="27"/>
  <c r="DF265" i="27"/>
  <c r="K32" i="18"/>
  <c r="J375" i="26"/>
  <c r="J376" i="26" s="1"/>
  <c r="J377" i="26" s="1"/>
  <c r="J378" i="26" s="1"/>
  <c r="J379" i="26" s="1"/>
  <c r="J380" i="26" s="1"/>
  <c r="J381" i="26" s="1"/>
  <c r="J382" i="26" s="1"/>
  <c r="J383" i="26" s="1"/>
  <c r="J384" i="26" s="1"/>
  <c r="J385" i="26" s="1"/>
  <c r="J386" i="26" s="1"/>
  <c r="J387" i="26" s="1"/>
  <c r="J388" i="26" s="1"/>
  <c r="J389" i="26" s="1"/>
  <c r="J390" i="26" s="1"/>
  <c r="J391" i="26" s="1"/>
  <c r="J392" i="26" s="1"/>
  <c r="J393" i="26" s="1"/>
  <c r="J394" i="26" s="1"/>
  <c r="J395" i="26" s="1"/>
  <c r="J396" i="26" s="1"/>
  <c r="J397" i="26" s="1"/>
  <c r="J398" i="26" s="1"/>
  <c r="J399" i="26" s="1"/>
  <c r="J400" i="26" s="1"/>
  <c r="J401" i="26" s="1"/>
  <c r="J402" i="26" s="1"/>
  <c r="J403" i="26" s="1"/>
  <c r="J404" i="26" s="1"/>
  <c r="J405" i="26" s="1"/>
  <c r="J406" i="26" s="1"/>
  <c r="P404" i="26"/>
  <c r="I404" i="26"/>
  <c r="CD266" i="27"/>
  <c r="CF266" i="27" s="1"/>
  <c r="DC266" i="27"/>
  <c r="DK266" i="27"/>
  <c r="BY266" i="27"/>
  <c r="CA266" i="27" s="1"/>
  <c r="CI266" i="27"/>
  <c r="BO266" i="27"/>
  <c r="BE267" i="27"/>
  <c r="CJ266" i="27" l="1"/>
  <c r="CL266" i="27" s="1"/>
  <c r="CK265" i="27"/>
  <c r="CM265" i="27"/>
  <c r="CL265" i="27"/>
  <c r="P409" i="26"/>
  <c r="P407" i="26"/>
  <c r="H408" i="26"/>
  <c r="I408" i="26" s="1"/>
  <c r="K65" i="18" s="1"/>
  <c r="H411" i="26"/>
  <c r="I411" i="26" s="1"/>
  <c r="K68" i="18" s="1"/>
  <c r="P411" i="26"/>
  <c r="P408" i="26"/>
  <c r="H409" i="26"/>
  <c r="I409" i="26" s="1"/>
  <c r="K66" i="18" s="1"/>
  <c r="P412" i="26"/>
  <c r="P413" i="26"/>
  <c r="H412" i="26"/>
  <c r="I412" i="26" s="1"/>
  <c r="K69" i="18" s="1"/>
  <c r="H407" i="26"/>
  <c r="I407" i="26" s="1"/>
  <c r="A166" i="26"/>
  <c r="F165" i="26"/>
  <c r="F167" i="26" s="1"/>
  <c r="BN267" i="27"/>
  <c r="CW267" i="27"/>
  <c r="BQ267" i="27"/>
  <c r="BB268" i="27"/>
  <c r="CT267" i="27"/>
  <c r="BS267" i="27"/>
  <c r="CY267" i="27"/>
  <c r="F158" i="26"/>
  <c r="A158" i="26"/>
  <c r="DN266" i="27"/>
  <c r="DM266" i="27"/>
  <c r="A159" i="26"/>
  <c r="F159" i="26"/>
  <c r="A163" i="26"/>
  <c r="F163" i="26"/>
  <c r="DO266" i="27"/>
  <c r="DF266" i="27"/>
  <c r="DE266" i="27"/>
  <c r="DG266" i="27"/>
  <c r="A160" i="26"/>
  <c r="F160" i="26"/>
  <c r="A161" i="26"/>
  <c r="A167" i="26"/>
  <c r="BO267" i="27"/>
  <c r="DK267" i="27"/>
  <c r="CI267" i="27"/>
  <c r="DC267" i="27"/>
  <c r="CD267" i="27"/>
  <c r="CF267" i="27" s="1"/>
  <c r="BY267" i="27"/>
  <c r="CA267" i="27" s="1"/>
  <c r="BE268" i="27"/>
  <c r="H432" i="26"/>
  <c r="I432" i="26" s="1"/>
  <c r="K61" i="18"/>
  <c r="CS267" i="27"/>
  <c r="BM267" i="27"/>
  <c r="AV268" i="27"/>
  <c r="F169" i="26"/>
  <c r="A169" i="26"/>
  <c r="A175" i="26"/>
  <c r="A177" i="26"/>
  <c r="A172" i="26"/>
  <c r="F162" i="26" l="1"/>
  <c r="CK266" i="27"/>
  <c r="CM266" i="27"/>
  <c r="CJ267" i="27"/>
  <c r="CK267" i="27" s="1"/>
  <c r="P427" i="26"/>
  <c r="P428" i="26" s="1"/>
  <c r="A178" i="26"/>
  <c r="F180" i="26"/>
  <c r="A186" i="26"/>
  <c r="A180" i="26"/>
  <c r="A188" i="26"/>
  <c r="A183" i="26"/>
  <c r="F170" i="26"/>
  <c r="F173" i="26" s="1"/>
  <c r="A170" i="26"/>
  <c r="BM268" i="27"/>
  <c r="AV269" i="27"/>
  <c r="CS268" i="27"/>
  <c r="DG267" i="27"/>
  <c r="DF267" i="27"/>
  <c r="DO267" i="27"/>
  <c r="DE267" i="27"/>
  <c r="F176" i="26"/>
  <c r="F178" i="26" s="1"/>
  <c r="A176" i="26"/>
  <c r="DM267" i="27"/>
  <c r="DN267" i="27"/>
  <c r="J407" i="26"/>
  <c r="J408" i="26" s="1"/>
  <c r="J409" i="26" s="1"/>
  <c r="J410" i="26" s="1"/>
  <c r="J411" i="26" s="1"/>
  <c r="J412" i="26" s="1"/>
  <c r="J413" i="26" s="1"/>
  <c r="J414" i="26" s="1"/>
  <c r="J415" i="26" s="1"/>
  <c r="J416" i="26" s="1"/>
  <c r="J417" i="26" s="1"/>
  <c r="J418" i="26" s="1"/>
  <c r="J419" i="26" s="1"/>
  <c r="J420" i="26" s="1"/>
  <c r="J421" i="26" s="1"/>
  <c r="J422" i="26" s="1"/>
  <c r="J423" i="26" s="1"/>
  <c r="J424" i="26" s="1"/>
  <c r="J425" i="26" s="1"/>
  <c r="J426" i="26" s="1"/>
  <c r="J427" i="26" s="1"/>
  <c r="K64" i="18"/>
  <c r="I428" i="26"/>
  <c r="A173" i="26"/>
  <c r="F179" i="26"/>
  <c r="K89" i="18"/>
  <c r="T89" i="18" s="1"/>
  <c r="I19" i="18" s="1"/>
  <c r="M435" i="26"/>
  <c r="BN268" i="27"/>
  <c r="BS268" i="27"/>
  <c r="BQ268" i="27"/>
  <c r="CY268" i="27"/>
  <c r="BB269" i="27"/>
  <c r="CW268" i="27"/>
  <c r="CT268" i="27"/>
  <c r="A174" i="26"/>
  <c r="F174" i="26"/>
  <c r="A171" i="26"/>
  <c r="F171" i="26"/>
  <c r="DK268" i="27"/>
  <c r="DC268" i="27"/>
  <c r="BY268" i="27"/>
  <c r="CA268" i="27" s="1"/>
  <c r="CI268" i="27"/>
  <c r="BE269" i="27"/>
  <c r="BO268" i="27"/>
  <c r="CD268" i="27"/>
  <c r="CF268" i="27" s="1"/>
  <c r="J428" i="26" l="1"/>
  <c r="J429" i="26" s="1"/>
  <c r="CM267" i="27"/>
  <c r="CJ268" i="27"/>
  <c r="CL268" i="27" s="1"/>
  <c r="CL267" i="27"/>
  <c r="A187" i="26"/>
  <c r="F187" i="26"/>
  <c r="F189" i="26" s="1"/>
  <c r="I430" i="26"/>
  <c r="K85" i="18"/>
  <c r="G155" i="26"/>
  <c r="A185" i="26"/>
  <c r="F185" i="26"/>
  <c r="A181" i="26"/>
  <c r="F181" i="26"/>
  <c r="F184" i="26" s="1"/>
  <c r="A189" i="26"/>
  <c r="BO269" i="27"/>
  <c r="BY269" i="27"/>
  <c r="CA269" i="27" s="1"/>
  <c r="CI269" i="27"/>
  <c r="CD269" i="27"/>
  <c r="CF269" i="27" s="1"/>
  <c r="DC269" i="27"/>
  <c r="BE270" i="27"/>
  <c r="DK269" i="27"/>
  <c r="BM269" i="27"/>
  <c r="CS269" i="27"/>
  <c r="AV270" i="27"/>
  <c r="A184" i="26"/>
  <c r="DO268" i="27"/>
  <c r="DE268" i="27"/>
  <c r="DF268" i="27"/>
  <c r="DG268" i="27"/>
  <c r="CT269" i="27"/>
  <c r="BN269" i="27"/>
  <c r="BQ269" i="27"/>
  <c r="BB270" i="27"/>
  <c r="BS269" i="27"/>
  <c r="CW269" i="27"/>
  <c r="CY269" i="27"/>
  <c r="F182" i="26"/>
  <c r="A182" i="26"/>
  <c r="DN268" i="27"/>
  <c r="DM268" i="27"/>
  <c r="CK268" i="27" l="1"/>
  <c r="CJ269" i="27"/>
  <c r="CM269" i="27" s="1"/>
  <c r="CM268" i="27"/>
  <c r="DE269" i="27"/>
  <c r="DF269" i="27"/>
  <c r="DO269" i="27"/>
  <c r="DG269" i="27"/>
  <c r="BS270" i="27"/>
  <c r="CT270" i="27"/>
  <c r="BN270" i="27"/>
  <c r="BB271" i="27"/>
  <c r="CW270" i="27"/>
  <c r="CY270" i="27"/>
  <c r="BQ270" i="27"/>
  <c r="BM270" i="27"/>
  <c r="CS270" i="27"/>
  <c r="AV271" i="27"/>
  <c r="I447" i="26"/>
  <c r="K104" i="18" s="1"/>
  <c r="J430" i="26"/>
  <c r="J431" i="26" s="1"/>
  <c r="J432" i="26" s="1"/>
  <c r="J433" i="26" s="1"/>
  <c r="K87" i="18"/>
  <c r="F155" i="26"/>
  <c r="DN269" i="27"/>
  <c r="DM269" i="27"/>
  <c r="BO270" i="27"/>
  <c r="CI270" i="27"/>
  <c r="BY270" i="27"/>
  <c r="CA270" i="27" s="1"/>
  <c r="CD270" i="27"/>
  <c r="CF270" i="27" s="1"/>
  <c r="DK270" i="27"/>
  <c r="BE271" i="27"/>
  <c r="DC270" i="27"/>
  <c r="CK269" i="27" l="1"/>
  <c r="CL269" i="27"/>
  <c r="CJ270" i="27"/>
  <c r="CM270" i="27" s="1"/>
  <c r="BN271" i="27"/>
  <c r="CT271" i="27"/>
  <c r="CY271" i="27"/>
  <c r="BS271" i="27"/>
  <c r="CW271" i="27"/>
  <c r="BQ271" i="27"/>
  <c r="BB272" i="27"/>
  <c r="AV272" i="27"/>
  <c r="BM271" i="27"/>
  <c r="CS271" i="27"/>
  <c r="DG270" i="27"/>
  <c r="DE270" i="27"/>
  <c r="DF270" i="27"/>
  <c r="DO270" i="27"/>
  <c r="BO271" i="27"/>
  <c r="CD271" i="27"/>
  <c r="CF271" i="27" s="1"/>
  <c r="DC271" i="27"/>
  <c r="DK271" i="27"/>
  <c r="CI271" i="27"/>
  <c r="BY271" i="27"/>
  <c r="CA271" i="27" s="1"/>
  <c r="BE272" i="27"/>
  <c r="DM270" i="27"/>
  <c r="DN270" i="27"/>
  <c r="J434" i="26"/>
  <c r="CK270" i="27" l="1"/>
  <c r="CL270" i="27"/>
  <c r="CJ271" i="27"/>
  <c r="CL271" i="27" s="1"/>
  <c r="BN272" i="27"/>
  <c r="BB273" i="27"/>
  <c r="CT272" i="27"/>
  <c r="BQ272" i="27"/>
  <c r="CY272" i="27"/>
  <c r="CW272" i="27"/>
  <c r="BS272" i="27"/>
  <c r="BY272" i="27"/>
  <c r="CA272" i="27" s="1"/>
  <c r="DC272" i="27"/>
  <c r="DK272" i="27"/>
  <c r="CI272" i="27"/>
  <c r="BO272" i="27"/>
  <c r="CD272" i="27"/>
  <c r="CF272" i="27" s="1"/>
  <c r="BE273" i="27"/>
  <c r="DM271" i="27"/>
  <c r="DN271" i="27"/>
  <c r="DG271" i="27"/>
  <c r="DO271" i="27"/>
  <c r="DE271" i="27"/>
  <c r="DF271" i="27"/>
  <c r="BM272" i="27"/>
  <c r="AV273" i="27"/>
  <c r="CS272" i="27"/>
  <c r="J435" i="26"/>
  <c r="CK271" i="27" l="1"/>
  <c r="CM271" i="27"/>
  <c r="CJ272" i="27"/>
  <c r="CL272" i="27" s="1"/>
  <c r="BM273" i="27"/>
  <c r="AV274" i="27"/>
  <c r="CS273" i="27"/>
  <c r="DC273" i="27"/>
  <c r="DK273" i="27"/>
  <c r="BE274" i="27"/>
  <c r="BY273" i="27"/>
  <c r="CA273" i="27" s="1"/>
  <c r="BO273" i="27"/>
  <c r="CD273" i="27"/>
  <c r="CF273" i="27" s="1"/>
  <c r="CI273" i="27"/>
  <c r="CJ273" i="27" s="1"/>
  <c r="DN272" i="27"/>
  <c r="DM272" i="27"/>
  <c r="BB274" i="27"/>
  <c r="CW273" i="27"/>
  <c r="CT273" i="27"/>
  <c r="BN273" i="27"/>
  <c r="CY273" i="27"/>
  <c r="BS273" i="27"/>
  <c r="BQ273" i="27"/>
  <c r="DO272" i="27"/>
  <c r="DG272" i="27"/>
  <c r="DE272" i="27"/>
  <c r="DF272" i="27"/>
  <c r="J436" i="26"/>
  <c r="CL273" i="27" l="1"/>
  <c r="CK272" i="27"/>
  <c r="CM272" i="27"/>
  <c r="CM273" i="27"/>
  <c r="CK273" i="27"/>
  <c r="CI274" i="27"/>
  <c r="CJ274" i="27" s="1"/>
  <c r="CL274" i="27" s="1"/>
  <c r="DK274" i="27"/>
  <c r="BO274" i="27"/>
  <c r="CD274" i="27"/>
  <c r="CF274" i="27" s="1"/>
  <c r="BE275" i="27"/>
  <c r="DC274" i="27"/>
  <c r="BY274" i="27"/>
  <c r="CA274" i="27" s="1"/>
  <c r="BQ274" i="27"/>
  <c r="BN274" i="27"/>
  <c r="CT274" i="27"/>
  <c r="CW274" i="27"/>
  <c r="BS274" i="27"/>
  <c r="CY274" i="27"/>
  <c r="BB275" i="27"/>
  <c r="DM273" i="27"/>
  <c r="DN273" i="27"/>
  <c r="DG273" i="27"/>
  <c r="DE273" i="27"/>
  <c r="DF273" i="27"/>
  <c r="DO273" i="27"/>
  <c r="AV275" i="27"/>
  <c r="CS274" i="27"/>
  <c r="BM274" i="27"/>
  <c r="J437" i="26"/>
  <c r="CK274" i="27" l="1"/>
  <c r="CM274" i="27"/>
  <c r="BB276" i="27"/>
  <c r="BN275" i="27"/>
  <c r="BQ275" i="27"/>
  <c r="BS275" i="27"/>
  <c r="CY275" i="27"/>
  <c r="CW275" i="27"/>
  <c r="CT275" i="27"/>
  <c r="DF274" i="27"/>
  <c r="DG274" i="27"/>
  <c r="DO274" i="27"/>
  <c r="DE274" i="27"/>
  <c r="CS275" i="27"/>
  <c r="BM275" i="27"/>
  <c r="AV276" i="27"/>
  <c r="BO275" i="27"/>
  <c r="DK275" i="27"/>
  <c r="BY275" i="27"/>
  <c r="CA275" i="27" s="1"/>
  <c r="CI275" i="27"/>
  <c r="CJ275" i="27" s="1"/>
  <c r="CM275" i="27" s="1"/>
  <c r="CD275" i="27"/>
  <c r="CF275" i="27" s="1"/>
  <c r="BE276" i="27"/>
  <c r="DC275" i="27"/>
  <c r="DN274" i="27"/>
  <c r="DM274" i="27"/>
  <c r="J438" i="26"/>
  <c r="CL275" i="27" l="1"/>
  <c r="CK275" i="27"/>
  <c r="DM275" i="27"/>
  <c r="DN275" i="27"/>
  <c r="BM276" i="27"/>
  <c r="CS276" i="27"/>
  <c r="AV277" i="27"/>
  <c r="DO275" i="27"/>
  <c r="DG275" i="27"/>
  <c r="DE275" i="27"/>
  <c r="DF275" i="27"/>
  <c r="BY276" i="27"/>
  <c r="CA276" i="27" s="1"/>
  <c r="BE277" i="27"/>
  <c r="CI276" i="27"/>
  <c r="CD276" i="27"/>
  <c r="CF276" i="27" s="1"/>
  <c r="DC276" i="27"/>
  <c r="BO276" i="27"/>
  <c r="DK276" i="27"/>
  <c r="BB277" i="27"/>
  <c r="BN276" i="27"/>
  <c r="CW276" i="27"/>
  <c r="CY276" i="27"/>
  <c r="BS276" i="27"/>
  <c r="CT276" i="27"/>
  <c r="BQ276" i="27"/>
  <c r="J439" i="26"/>
  <c r="CJ276" i="27" l="1"/>
  <c r="CM276" i="27" s="1"/>
  <c r="DF276" i="27"/>
  <c r="DE276" i="27"/>
  <c r="DO276" i="27"/>
  <c r="DG276" i="27"/>
  <c r="BM277" i="27"/>
  <c r="CS277" i="27"/>
  <c r="AV278" i="27"/>
  <c r="CI277" i="27"/>
  <c r="DK277" i="27"/>
  <c r="DC277" i="27"/>
  <c r="BY277" i="27"/>
  <c r="CA277" i="27" s="1"/>
  <c r="BO277" i="27"/>
  <c r="BE278" i="27"/>
  <c r="CD277" i="27"/>
  <c r="CF277" i="27" s="1"/>
  <c r="BB278" i="27"/>
  <c r="BN277" i="27"/>
  <c r="CW277" i="27"/>
  <c r="BS277" i="27"/>
  <c r="CT277" i="27"/>
  <c r="CY277" i="27"/>
  <c r="BQ277" i="27"/>
  <c r="DM276" i="27"/>
  <c r="DN276" i="27"/>
  <c r="J440" i="26"/>
  <c r="J441" i="26" s="1"/>
  <c r="J442" i="26" s="1"/>
  <c r="J443" i="26" s="1"/>
  <c r="J444" i="26" s="1"/>
  <c r="J445" i="26" s="1"/>
  <c r="J446" i="26" s="1"/>
  <c r="J447" i="26" s="1"/>
  <c r="J448" i="26" s="1"/>
  <c r="J449" i="26" s="1"/>
  <c r="J450" i="26" s="1"/>
  <c r="J451" i="26" s="1"/>
  <c r="J452" i="26" s="1"/>
  <c r="J453" i="26" s="1"/>
  <c r="J454" i="26" s="1"/>
  <c r="J455" i="26" s="1"/>
  <c r="J456" i="26" s="1"/>
  <c r="CL276" i="27" l="1"/>
  <c r="CJ277" i="27"/>
  <c r="CK276" i="27"/>
  <c r="BB279" i="27"/>
  <c r="CY278" i="27"/>
  <c r="BN278" i="27"/>
  <c r="CT278" i="27"/>
  <c r="CW278" i="27"/>
  <c r="BS278" i="27"/>
  <c r="BQ278" i="27"/>
  <c r="CS278" i="27"/>
  <c r="BM278" i="27"/>
  <c r="AV279" i="27"/>
  <c r="BE279" i="27"/>
  <c r="BO278" i="27"/>
  <c r="CD278" i="27"/>
  <c r="CF278" i="27" s="1"/>
  <c r="DK278" i="27"/>
  <c r="CI278" i="27"/>
  <c r="BY278" i="27"/>
  <c r="CA278" i="27" s="1"/>
  <c r="DC278" i="27"/>
  <c r="DF277" i="27"/>
  <c r="DG277" i="27"/>
  <c r="DE277" i="27"/>
  <c r="DO277" i="27"/>
  <c r="DM277" i="27"/>
  <c r="DN277" i="27"/>
  <c r="J457" i="26"/>
  <c r="CJ278" i="27" l="1"/>
  <c r="CM278" i="27" s="1"/>
  <c r="CM277" i="27"/>
  <c r="CL277" i="27"/>
  <c r="CK277" i="27"/>
  <c r="DM278" i="27"/>
  <c r="DN278" i="27"/>
  <c r="BY279" i="27"/>
  <c r="CA279" i="27" s="1"/>
  <c r="DC279" i="27"/>
  <c r="CD279" i="27"/>
  <c r="CF279" i="27" s="1"/>
  <c r="BO279" i="27"/>
  <c r="CI279" i="27"/>
  <c r="BE280" i="27"/>
  <c r="DK279" i="27"/>
  <c r="AV280" i="27"/>
  <c r="CS279" i="27"/>
  <c r="BM279" i="27"/>
  <c r="DF278" i="27"/>
  <c r="DG278" i="27"/>
  <c r="DO278" i="27"/>
  <c r="DE278" i="27"/>
  <c r="BN279" i="27"/>
  <c r="CY279" i="27"/>
  <c r="BQ279" i="27"/>
  <c r="BS279" i="27"/>
  <c r="CT279" i="27"/>
  <c r="CW279" i="27"/>
  <c r="BB280" i="27"/>
  <c r="I76" i="26"/>
  <c r="J64" i="26"/>
  <c r="A66" i="26"/>
  <c r="P64" i="26"/>
  <c r="H67" i="26"/>
  <c r="A65" i="26"/>
  <c r="J65" i="26"/>
  <c r="I65" i="26"/>
  <c r="H64" i="26"/>
  <c r="I66" i="26"/>
  <c r="H65" i="26"/>
  <c r="P65" i="26"/>
  <c r="I64" i="26"/>
  <c r="I67" i="26"/>
  <c r="A64" i="26"/>
  <c r="H66" i="26"/>
  <c r="P66" i="26"/>
  <c r="J67" i="26"/>
  <c r="J66" i="26"/>
  <c r="P67" i="26"/>
  <c r="A67" i="26"/>
  <c r="P78" i="26"/>
  <c r="P76" i="26"/>
  <c r="I78" i="26"/>
  <c r="H76" i="26"/>
  <c r="H78" i="26"/>
  <c r="H77" i="26"/>
  <c r="J77" i="26"/>
  <c r="J78" i="26"/>
  <c r="I77" i="26"/>
  <c r="I80" i="26"/>
  <c r="J68" i="26"/>
  <c r="H69" i="26"/>
  <c r="I69" i="26"/>
  <c r="J70" i="26"/>
  <c r="J71" i="26"/>
  <c r="P72" i="26"/>
  <c r="J69" i="26"/>
  <c r="I70" i="26"/>
  <c r="A70" i="26"/>
  <c r="H70" i="26"/>
  <c r="P69" i="26"/>
  <c r="A72" i="26"/>
  <c r="P68" i="26"/>
  <c r="H68" i="26"/>
  <c r="H72" i="26"/>
  <c r="I71" i="26"/>
  <c r="J72" i="26"/>
  <c r="P70" i="26"/>
  <c r="A69" i="26"/>
  <c r="A71" i="26"/>
  <c r="H71" i="26"/>
  <c r="I72" i="26"/>
  <c r="P71" i="26"/>
  <c r="A68" i="26"/>
  <c r="J73" i="26"/>
  <c r="I73" i="26"/>
  <c r="H73" i="26"/>
  <c r="I68" i="26"/>
  <c r="A73" i="26"/>
  <c r="P73" i="26"/>
  <c r="H74" i="26"/>
  <c r="I74" i="26"/>
  <c r="P74" i="26"/>
  <c r="A74" i="26"/>
  <c r="J74" i="26"/>
  <c r="I75" i="26"/>
  <c r="H75" i="26"/>
  <c r="P77" i="26"/>
  <c r="A75" i="26"/>
  <c r="A77" i="26"/>
  <c r="A76" i="26"/>
  <c r="P75" i="26"/>
  <c r="J75" i="26"/>
  <c r="J133" i="26"/>
  <c r="P79" i="26"/>
  <c r="H79" i="26"/>
  <c r="I79" i="26"/>
  <c r="J131" i="26"/>
  <c r="A79" i="26"/>
  <c r="H116" i="26"/>
  <c r="J79" i="26"/>
  <c r="H102" i="26"/>
  <c r="A118" i="26"/>
  <c r="P120" i="26"/>
  <c r="A127" i="26"/>
  <c r="I108" i="26"/>
  <c r="H112" i="26"/>
  <c r="J116" i="26"/>
  <c r="H137" i="26"/>
  <c r="I136" i="26"/>
  <c r="P144" i="26"/>
  <c r="J123" i="26"/>
  <c r="A107" i="26"/>
  <c r="J138" i="26"/>
  <c r="I119" i="26"/>
  <c r="H124" i="26"/>
  <c r="A110" i="26"/>
  <c r="J118" i="26"/>
  <c r="P128" i="26"/>
  <c r="H127" i="26"/>
  <c r="I106" i="26"/>
  <c r="H104" i="26"/>
  <c r="P119" i="26"/>
  <c r="P116" i="26"/>
  <c r="P122" i="26"/>
  <c r="P109" i="26"/>
  <c r="I120" i="26"/>
  <c r="A116" i="26"/>
  <c r="J125" i="26"/>
  <c r="A122" i="26"/>
  <c r="A113" i="26"/>
  <c r="H103" i="26"/>
  <c r="P127" i="26"/>
  <c r="P132" i="26"/>
  <c r="J110" i="26"/>
  <c r="J143" i="26"/>
  <c r="P105" i="26"/>
  <c r="I141" i="26"/>
  <c r="H143" i="26"/>
  <c r="J139" i="26"/>
  <c r="I104" i="26"/>
  <c r="A124" i="26"/>
  <c r="J112" i="26"/>
  <c r="I124" i="26"/>
  <c r="I132" i="26"/>
  <c r="A144" i="26"/>
  <c r="P140" i="26"/>
  <c r="I128" i="26"/>
  <c r="P104" i="26"/>
  <c r="J121" i="26"/>
  <c r="H109" i="26"/>
  <c r="H126" i="26"/>
  <c r="J134" i="26"/>
  <c r="A117" i="26"/>
  <c r="A137" i="26"/>
  <c r="P114" i="26"/>
  <c r="A103" i="26"/>
  <c r="A136" i="26"/>
  <c r="H131" i="26"/>
  <c r="J111" i="26"/>
  <c r="I121" i="26"/>
  <c r="A129" i="26"/>
  <c r="J113" i="26"/>
  <c r="I127" i="26"/>
  <c r="H141" i="26"/>
  <c r="J122" i="26"/>
  <c r="J126" i="26"/>
  <c r="I126" i="26"/>
  <c r="J128" i="26"/>
  <c r="J135" i="26"/>
  <c r="A105" i="26"/>
  <c r="P118" i="26"/>
  <c r="J108" i="26"/>
  <c r="A119" i="26"/>
  <c r="H115" i="26"/>
  <c r="H123" i="26"/>
  <c r="I137" i="26"/>
  <c r="H138" i="26"/>
  <c r="I135" i="26"/>
  <c r="P103" i="26"/>
  <c r="J130" i="26"/>
  <c r="P110" i="26"/>
  <c r="I140" i="26"/>
  <c r="P121" i="26"/>
  <c r="H118" i="26"/>
  <c r="I115" i="26"/>
  <c r="J105" i="26"/>
  <c r="H110" i="26"/>
  <c r="A112" i="26"/>
  <c r="J142" i="26"/>
  <c r="J104" i="26"/>
  <c r="H128" i="26"/>
  <c r="H106" i="26"/>
  <c r="H140" i="26"/>
  <c r="P112" i="26"/>
  <c r="H139" i="26"/>
  <c r="I123" i="26"/>
  <c r="I116" i="26"/>
  <c r="P129" i="26"/>
  <c r="A130" i="26"/>
  <c r="J137" i="26"/>
  <c r="J114" i="26"/>
  <c r="I130" i="26"/>
  <c r="I110" i="26"/>
  <c r="A133" i="26"/>
  <c r="H144" i="26"/>
  <c r="A131" i="26"/>
  <c r="P102" i="26"/>
  <c r="J129" i="26"/>
  <c r="A132" i="26"/>
  <c r="H107" i="26"/>
  <c r="H105" i="26"/>
  <c r="P143" i="26"/>
  <c r="P113" i="26"/>
  <c r="A114" i="26"/>
  <c r="J132" i="26"/>
  <c r="P131" i="26"/>
  <c r="A142" i="26"/>
  <c r="J127" i="26"/>
  <c r="J119" i="26"/>
  <c r="J120" i="26"/>
  <c r="H132" i="26"/>
  <c r="H117" i="26"/>
  <c r="H133" i="26"/>
  <c r="H120" i="26"/>
  <c r="P135" i="26"/>
  <c r="H129" i="26"/>
  <c r="H130" i="26"/>
  <c r="I134" i="26"/>
  <c r="I139" i="26"/>
  <c r="I138" i="26"/>
  <c r="P126" i="26"/>
  <c r="I103" i="26"/>
  <c r="J107" i="26"/>
  <c r="A134" i="26"/>
  <c r="A135" i="26"/>
  <c r="P138" i="26"/>
  <c r="A121" i="26"/>
  <c r="I122" i="26"/>
  <c r="H121" i="26"/>
  <c r="H134" i="26"/>
  <c r="J136" i="26"/>
  <c r="I131" i="26"/>
  <c r="P130" i="26"/>
  <c r="J117" i="26"/>
  <c r="A123" i="26"/>
  <c r="I112" i="26"/>
  <c r="P141" i="26"/>
  <c r="A120" i="26"/>
  <c r="I102" i="26"/>
  <c r="A111" i="26"/>
  <c r="P124" i="26"/>
  <c r="I129" i="26"/>
  <c r="J140" i="26"/>
  <c r="I117" i="26"/>
  <c r="I105" i="26"/>
  <c r="I114" i="26"/>
  <c r="I98" i="26"/>
  <c r="I144" i="26"/>
  <c r="P136" i="26"/>
  <c r="P139" i="26"/>
  <c r="H111" i="26"/>
  <c r="P142" i="26"/>
  <c r="I107" i="26"/>
  <c r="I125" i="26"/>
  <c r="I142" i="26"/>
  <c r="H125" i="26"/>
  <c r="I133" i="26"/>
  <c r="P137" i="26"/>
  <c r="A108" i="26"/>
  <c r="J144" i="26"/>
  <c r="I113" i="26"/>
  <c r="H114" i="26"/>
  <c r="P107" i="26"/>
  <c r="H136" i="26"/>
  <c r="A104" i="26"/>
  <c r="J103" i="26"/>
  <c r="A128" i="26"/>
  <c r="J102" i="26"/>
  <c r="I143" i="26"/>
  <c r="J124" i="26"/>
  <c r="P99" i="26"/>
  <c r="P111" i="26"/>
  <c r="P133" i="26"/>
  <c r="J141" i="26"/>
  <c r="A139" i="26"/>
  <c r="J106" i="26"/>
  <c r="P101" i="26"/>
  <c r="J98" i="26"/>
  <c r="P108" i="26"/>
  <c r="A126" i="26"/>
  <c r="H113" i="26"/>
  <c r="I118" i="26"/>
  <c r="I109" i="26"/>
  <c r="J100" i="26"/>
  <c r="A98" i="26"/>
  <c r="H135" i="26"/>
  <c r="J109" i="26"/>
  <c r="P134" i="26"/>
  <c r="A102" i="26"/>
  <c r="H101" i="26"/>
  <c r="A99" i="26"/>
  <c r="A140" i="26"/>
  <c r="A106" i="26"/>
  <c r="P125" i="26"/>
  <c r="A143" i="26"/>
  <c r="H99" i="26"/>
  <c r="I100" i="26"/>
  <c r="A109" i="26"/>
  <c r="A125" i="26"/>
  <c r="A141" i="26"/>
  <c r="J115" i="26"/>
  <c r="H122" i="26"/>
  <c r="A100" i="26"/>
  <c r="A101" i="26"/>
  <c r="H108" i="26"/>
  <c r="A115" i="26"/>
  <c r="P115" i="26"/>
  <c r="P117" i="26"/>
  <c r="H98" i="26"/>
  <c r="H96" i="26"/>
  <c r="I111" i="26"/>
  <c r="H142" i="26"/>
  <c r="P106" i="26"/>
  <c r="P123" i="26"/>
  <c r="H119" i="26"/>
  <c r="J101" i="26"/>
  <c r="A96" i="26"/>
  <c r="J99" i="26"/>
  <c r="H81" i="26"/>
  <c r="P100" i="26"/>
  <c r="J81" i="26"/>
  <c r="I101" i="26"/>
  <c r="P97" i="26"/>
  <c r="A81" i="26"/>
  <c r="J80" i="26"/>
  <c r="A80" i="26"/>
  <c r="I81" i="26"/>
  <c r="H97" i="26"/>
  <c r="J76" i="26"/>
  <c r="H80" i="26"/>
  <c r="P81" i="26"/>
  <c r="P80" i="26"/>
  <c r="I93" i="26"/>
  <c r="H93" i="26"/>
  <c r="H100" i="26"/>
  <c r="J89" i="26"/>
  <c r="A78" i="26"/>
  <c r="I89" i="26"/>
  <c r="A86" i="26"/>
  <c r="P90" i="26"/>
  <c r="P87" i="26"/>
  <c r="P89" i="26"/>
  <c r="A91" i="26"/>
  <c r="A90" i="26"/>
  <c r="H87" i="26"/>
  <c r="H88" i="26"/>
  <c r="J91" i="26"/>
  <c r="J90" i="26"/>
  <c r="I88" i="26"/>
  <c r="J88" i="26"/>
  <c r="H91" i="26"/>
  <c r="I90" i="26"/>
  <c r="A87" i="26"/>
  <c r="H89" i="26"/>
  <c r="P91" i="26"/>
  <c r="P86" i="26"/>
  <c r="P88" i="26"/>
  <c r="I86" i="26"/>
  <c r="J95" i="26"/>
  <c r="I91" i="26"/>
  <c r="J87" i="26"/>
  <c r="A89" i="26"/>
  <c r="A138" i="26"/>
  <c r="J82" i="26"/>
  <c r="A82" i="26"/>
  <c r="I82" i="26"/>
  <c r="I83" i="26"/>
  <c r="J83" i="26"/>
  <c r="P83" i="26"/>
  <c r="A83" i="26"/>
  <c r="H82" i="26"/>
  <c r="P82" i="26"/>
  <c r="H83" i="26"/>
  <c r="H84" i="26"/>
  <c r="I84" i="26"/>
  <c r="J85" i="26"/>
  <c r="A84" i="26"/>
  <c r="J84" i="26"/>
  <c r="P84" i="26"/>
  <c r="A85" i="26"/>
  <c r="P85" i="26"/>
  <c r="H85" i="26"/>
  <c r="I85" i="26"/>
  <c r="I87" i="26"/>
  <c r="J86" i="26"/>
  <c r="H90" i="26"/>
  <c r="H86" i="26"/>
  <c r="A88" i="26"/>
  <c r="J96" i="26"/>
  <c r="P93" i="26"/>
  <c r="I92" i="26"/>
  <c r="I99" i="26"/>
  <c r="P96" i="26"/>
  <c r="A93" i="26"/>
  <c r="J92" i="26"/>
  <c r="P98" i="26"/>
  <c r="H95" i="26"/>
  <c r="J93" i="26"/>
  <c r="H92" i="26"/>
  <c r="I95" i="26"/>
  <c r="A92" i="26"/>
  <c r="P92" i="26"/>
  <c r="I97" i="26"/>
  <c r="P95" i="26"/>
  <c r="A94" i="26"/>
  <c r="J97" i="26"/>
  <c r="A95" i="26"/>
  <c r="I94" i="26"/>
  <c r="P94" i="26"/>
  <c r="A97" i="26"/>
  <c r="I96" i="26"/>
  <c r="J94" i="26"/>
  <c r="H94" i="26"/>
  <c r="CK278" i="27" l="1"/>
  <c r="CL278" i="27"/>
  <c r="CJ279" i="27"/>
  <c r="CL279" i="27" s="1"/>
  <c r="DF279" i="27"/>
  <c r="DG279" i="27"/>
  <c r="DE279" i="27"/>
  <c r="DO279" i="27"/>
  <c r="BM280" i="27"/>
  <c r="AV281" i="27"/>
  <c r="CS280" i="27"/>
  <c r="DM279" i="27"/>
  <c r="DN279" i="27"/>
  <c r="BS280" i="27"/>
  <c r="BB281" i="27"/>
  <c r="BN280" i="27"/>
  <c r="CW280" i="27"/>
  <c r="BQ280" i="27"/>
  <c r="CY280" i="27"/>
  <c r="CT280" i="27"/>
  <c r="BE281" i="27"/>
  <c r="CI280" i="27"/>
  <c r="DK280" i="27"/>
  <c r="BO280" i="27"/>
  <c r="BY280" i="27"/>
  <c r="CA280" i="27" s="1"/>
  <c r="CD280" i="27"/>
  <c r="CF280" i="27" s="1"/>
  <c r="DC280" i="27"/>
  <c r="CJ280" i="27" l="1"/>
  <c r="CL280" i="27" s="1"/>
  <c r="CM279" i="27"/>
  <c r="CK279" i="27"/>
  <c r="BM281" i="27"/>
  <c r="CS281" i="27"/>
  <c r="AV282" i="27"/>
  <c r="DN280" i="27"/>
  <c r="DM280" i="27"/>
  <c r="CT281" i="27"/>
  <c r="CY281" i="27"/>
  <c r="CW281" i="27"/>
  <c r="BQ281" i="27"/>
  <c r="BN281" i="27"/>
  <c r="BB282" i="27"/>
  <c r="BS281" i="27"/>
  <c r="DO280" i="27"/>
  <c r="DG280" i="27"/>
  <c r="DE280" i="27"/>
  <c r="DF280" i="27"/>
  <c r="CI281" i="27"/>
  <c r="CD281" i="27"/>
  <c r="CF281" i="27" s="1"/>
  <c r="BO281" i="27"/>
  <c r="DC281" i="27"/>
  <c r="DK281" i="27"/>
  <c r="BE282" i="27"/>
  <c r="BY281" i="27"/>
  <c r="CA281" i="27" s="1"/>
  <c r="CK280" i="27" l="1"/>
  <c r="CM280" i="27"/>
  <c r="CJ281" i="27"/>
  <c r="DM281" i="27"/>
  <c r="DN281" i="27"/>
  <c r="DE281" i="27"/>
  <c r="DG281" i="27"/>
  <c r="DO281" i="27"/>
  <c r="DF281" i="27"/>
  <c r="CD282" i="27"/>
  <c r="CF282" i="27" s="1"/>
  <c r="BE283" i="27"/>
  <c r="DK282" i="27"/>
  <c r="DC282" i="27"/>
  <c r="CI282" i="27"/>
  <c r="BY282" i="27"/>
  <c r="CA282" i="27" s="1"/>
  <c r="BO282" i="27"/>
  <c r="BN282" i="27"/>
  <c r="BB283" i="27"/>
  <c r="BS282" i="27"/>
  <c r="BQ282" i="27"/>
  <c r="CY282" i="27"/>
  <c r="CT282" i="27"/>
  <c r="CW282" i="27"/>
  <c r="CS282" i="27"/>
  <c r="BM282" i="27"/>
  <c r="AV283" i="27"/>
  <c r="CJ282" i="27" l="1"/>
  <c r="CM282" i="27" s="1"/>
  <c r="CL281" i="27"/>
  <c r="CK281" i="27"/>
  <c r="CM281" i="27"/>
  <c r="BO283" i="27"/>
  <c r="CD283" i="27"/>
  <c r="CF283" i="27" s="1"/>
  <c r="DC283" i="27"/>
  <c r="BE284" i="27"/>
  <c r="DK283" i="27"/>
  <c r="BY283" i="27"/>
  <c r="CA283" i="27" s="1"/>
  <c r="CI283" i="27"/>
  <c r="BN283" i="27"/>
  <c r="CY283" i="27"/>
  <c r="BS283" i="27"/>
  <c r="CW283" i="27"/>
  <c r="BQ283" i="27"/>
  <c r="CT283" i="27"/>
  <c r="BB284" i="27"/>
  <c r="CS283" i="27"/>
  <c r="BM283" i="27"/>
  <c r="AV284" i="27"/>
  <c r="DG282" i="27"/>
  <c r="DF282" i="27"/>
  <c r="DE282" i="27"/>
  <c r="DO282" i="27"/>
  <c r="DN282" i="27"/>
  <c r="DM282" i="27"/>
  <c r="CK282" i="27" l="1"/>
  <c r="CJ283" i="27"/>
  <c r="CK283" i="27" s="1"/>
  <c r="CL282" i="27"/>
  <c r="BS284" i="27"/>
  <c r="CW284" i="27"/>
  <c r="CY284" i="27"/>
  <c r="BN284" i="27"/>
  <c r="BB285" i="27"/>
  <c r="BQ284" i="27"/>
  <c r="CT284" i="27"/>
  <c r="DM283" i="27"/>
  <c r="DN283" i="27"/>
  <c r="CI284" i="27"/>
  <c r="CJ284" i="27" s="1"/>
  <c r="CK284" i="27" s="1"/>
  <c r="BY284" i="27"/>
  <c r="CA284" i="27" s="1"/>
  <c r="BE285" i="27"/>
  <c r="CD284" i="27"/>
  <c r="CF284" i="27" s="1"/>
  <c r="DK284" i="27"/>
  <c r="DC284" i="27"/>
  <c r="BO284" i="27"/>
  <c r="DE283" i="27"/>
  <c r="DO283" i="27"/>
  <c r="DG283" i="27"/>
  <c r="DF283" i="27"/>
  <c r="CS284" i="27"/>
  <c r="AV285" i="27"/>
  <c r="BM284" i="27"/>
  <c r="CL283" i="27" l="1"/>
  <c r="CM283" i="27"/>
  <c r="CL284" i="27"/>
  <c r="CM284" i="27"/>
  <c r="DO284" i="27"/>
  <c r="DF284" i="27"/>
  <c r="DG284" i="27"/>
  <c r="DE284" i="27"/>
  <c r="DN284" i="27"/>
  <c r="DM284" i="27"/>
  <c r="BN285" i="27"/>
  <c r="CW285" i="27"/>
  <c r="BB286" i="27"/>
  <c r="BS285" i="27"/>
  <c r="CT285" i="27"/>
  <c r="CY285" i="27"/>
  <c r="BQ285" i="27"/>
  <c r="DK285" i="27"/>
  <c r="BY285" i="27"/>
  <c r="CA285" i="27" s="1"/>
  <c r="CI285" i="27"/>
  <c r="CJ285" i="27" s="1"/>
  <c r="CK285" i="27" s="1"/>
  <c r="DC285" i="27"/>
  <c r="BE286" i="27"/>
  <c r="BO285" i="27"/>
  <c r="CD285" i="27"/>
  <c r="CF285" i="27" s="1"/>
  <c r="CS285" i="27"/>
  <c r="BM285" i="27"/>
  <c r="AV286" i="27"/>
  <c r="CM285" i="27" l="1"/>
  <c r="CL285" i="27"/>
  <c r="DM285" i="27"/>
  <c r="DN285" i="27"/>
  <c r="AV287" i="27"/>
  <c r="CS286" i="27"/>
  <c r="BM286" i="27"/>
  <c r="DC286" i="27"/>
  <c r="BY286" i="27"/>
  <c r="CA286" i="27" s="1"/>
  <c r="CD286" i="27"/>
  <c r="CF286" i="27" s="1"/>
  <c r="CI286" i="27"/>
  <c r="CJ286" i="27" s="1"/>
  <c r="CK286" i="27" s="1"/>
  <c r="DK286" i="27"/>
  <c r="BE287" i="27"/>
  <c r="BO286" i="27"/>
  <c r="DF285" i="27"/>
  <c r="DE285" i="27"/>
  <c r="DG285" i="27"/>
  <c r="DO285" i="27"/>
  <c r="BS286" i="27"/>
  <c r="BB287" i="27"/>
  <c r="BN286" i="27"/>
  <c r="BQ286" i="27"/>
  <c r="CY286" i="27"/>
  <c r="CT286" i="27"/>
  <c r="CW286" i="27"/>
  <c r="CL286" i="27" l="1"/>
  <c r="CM286" i="27"/>
  <c r="DO286" i="27"/>
  <c r="DE286" i="27"/>
  <c r="DG286" i="27"/>
  <c r="DF286" i="27"/>
  <c r="BN287" i="27"/>
  <c r="CY287" i="27"/>
  <c r="CW287" i="27"/>
  <c r="BS287" i="27"/>
  <c r="CT287" i="27"/>
  <c r="BQ287" i="27"/>
  <c r="BB288" i="27"/>
  <c r="CD287" i="27"/>
  <c r="CF287" i="27" s="1"/>
  <c r="BO287" i="27"/>
  <c r="DC287" i="27"/>
  <c r="DK287" i="27"/>
  <c r="BE288" i="27"/>
  <c r="BY287" i="27"/>
  <c r="CA287" i="27" s="1"/>
  <c r="CI287" i="27"/>
  <c r="BM287" i="27"/>
  <c r="CS287" i="27"/>
  <c r="AV288" i="27"/>
  <c r="DM286" i="27"/>
  <c r="DN286" i="27"/>
  <c r="CJ287" i="27" l="1"/>
  <c r="CL287" i="27" s="1"/>
  <c r="DM287" i="27"/>
  <c r="DN287" i="27"/>
  <c r="DG287" i="27"/>
  <c r="DE287" i="27"/>
  <c r="DO287" i="27"/>
  <c r="DF287" i="27"/>
  <c r="CS288" i="27"/>
  <c r="AV289" i="27"/>
  <c r="BM288" i="27"/>
  <c r="BS288" i="27"/>
  <c r="BQ288" i="27"/>
  <c r="CW288" i="27"/>
  <c r="BN288" i="27"/>
  <c r="BB289" i="27"/>
  <c r="CT288" i="27"/>
  <c r="CY288" i="27"/>
  <c r="CI288" i="27"/>
  <c r="DK288" i="27"/>
  <c r="CD288" i="27"/>
  <c r="CF288" i="27" s="1"/>
  <c r="DC288" i="27"/>
  <c r="BY288" i="27"/>
  <c r="CA288" i="27" s="1"/>
  <c r="BO288" i="27"/>
  <c r="BE289" i="27"/>
  <c r="CK287" i="27" l="1"/>
  <c r="CM287" i="27"/>
  <c r="CJ288" i="27"/>
  <c r="CL288" i="27" s="1"/>
  <c r="CS289" i="27"/>
  <c r="BM289" i="27"/>
  <c r="AV290" i="27"/>
  <c r="BS289" i="27"/>
  <c r="BN289" i="27"/>
  <c r="BB290" i="27"/>
  <c r="BQ289" i="27"/>
  <c r="CY289" i="27"/>
  <c r="CW289" i="27"/>
  <c r="CT289" i="27"/>
  <c r="CD289" i="27"/>
  <c r="CF289" i="27" s="1"/>
  <c r="BO289" i="27"/>
  <c r="BE290" i="27"/>
  <c r="BY289" i="27"/>
  <c r="CA289" i="27" s="1"/>
  <c r="CI289" i="27"/>
  <c r="DC289" i="27"/>
  <c r="DK289" i="27"/>
  <c r="DN288" i="27"/>
  <c r="DM288" i="27"/>
  <c r="DF288" i="27"/>
  <c r="DG288" i="27"/>
  <c r="DO288" i="27"/>
  <c r="DE288" i="27"/>
  <c r="CM288" i="27" l="1"/>
  <c r="CJ289" i="27"/>
  <c r="CL289" i="27" s="1"/>
  <c r="CK288" i="27"/>
  <c r="DO289" i="27"/>
  <c r="DE289" i="27"/>
  <c r="DF289" i="27"/>
  <c r="DG289" i="27"/>
  <c r="BN290" i="27"/>
  <c r="CW290" i="27"/>
  <c r="CY290" i="27"/>
  <c r="BS290" i="27"/>
  <c r="CT290" i="27"/>
  <c r="BQ290" i="27"/>
  <c r="BB291" i="27"/>
  <c r="CD290" i="27"/>
  <c r="CF290" i="27" s="1"/>
  <c r="DC290" i="27"/>
  <c r="CI290" i="27"/>
  <c r="BY290" i="27"/>
  <c r="CA290" i="27" s="1"/>
  <c r="BO290" i="27"/>
  <c r="BE291" i="27"/>
  <c r="DK290" i="27"/>
  <c r="AV291" i="27"/>
  <c r="BM290" i="27"/>
  <c r="CS290" i="27"/>
  <c r="DM289" i="27"/>
  <c r="DN289" i="27"/>
  <c r="CK289" i="27" l="1"/>
  <c r="CM289" i="27"/>
  <c r="CJ290" i="27"/>
  <c r="CL290" i="27" s="1"/>
  <c r="CS291" i="27"/>
  <c r="AV292" i="27"/>
  <c r="BM291" i="27"/>
  <c r="DN290" i="27"/>
  <c r="DM290" i="27"/>
  <c r="BS291" i="27"/>
  <c r="CY291" i="27"/>
  <c r="BN291" i="27"/>
  <c r="BB292" i="27"/>
  <c r="BQ291" i="27"/>
  <c r="CT291" i="27"/>
  <c r="CW291" i="27"/>
  <c r="DC291" i="27"/>
  <c r="CD291" i="27"/>
  <c r="CF291" i="27" s="1"/>
  <c r="CI291" i="27"/>
  <c r="BE292" i="27"/>
  <c r="DK291" i="27"/>
  <c r="BY291" i="27"/>
  <c r="CA291" i="27" s="1"/>
  <c r="BO291" i="27"/>
  <c r="DE290" i="27"/>
  <c r="DF290" i="27"/>
  <c r="DG290" i="27"/>
  <c r="DO290" i="27"/>
  <c r="CM290" i="27" l="1"/>
  <c r="CJ291" i="27"/>
  <c r="CK290" i="27"/>
  <c r="DF291" i="27"/>
  <c r="DG291" i="27"/>
  <c r="DE291" i="27"/>
  <c r="DO291" i="27"/>
  <c r="DN291" i="27"/>
  <c r="DM291" i="27"/>
  <c r="BS292" i="27"/>
  <c r="CW292" i="27"/>
  <c r="BQ292" i="27"/>
  <c r="BN292" i="27"/>
  <c r="CY292" i="27"/>
  <c r="BB293" i="27"/>
  <c r="CT292" i="27"/>
  <c r="AV293" i="27"/>
  <c r="CS292" i="27"/>
  <c r="BM292" i="27"/>
  <c r="DC292" i="27"/>
  <c r="BY292" i="27"/>
  <c r="CA292" i="27" s="1"/>
  <c r="CI292" i="27"/>
  <c r="BE293" i="27"/>
  <c r="DK292" i="27"/>
  <c r="BO292" i="27"/>
  <c r="CD292" i="27"/>
  <c r="CF292" i="27" s="1"/>
  <c r="CJ292" i="27" l="1"/>
  <c r="CK292" i="27" s="1"/>
  <c r="CM291" i="27"/>
  <c r="CL291" i="27"/>
  <c r="CK291" i="27"/>
  <c r="CS293" i="27"/>
  <c r="BM293" i="27"/>
  <c r="AV294" i="27"/>
  <c r="BE294" i="27"/>
  <c r="BO293" i="27"/>
  <c r="DK293" i="27"/>
  <c r="CI293" i="27"/>
  <c r="DC293" i="27"/>
  <c r="CD293" i="27"/>
  <c r="CF293" i="27" s="1"/>
  <c r="BY293" i="27"/>
  <c r="CA293" i="27" s="1"/>
  <c r="CT293" i="27"/>
  <c r="BB294" i="27"/>
  <c r="CW293" i="27"/>
  <c r="BQ293" i="27"/>
  <c r="BN293" i="27"/>
  <c r="CY293" i="27"/>
  <c r="BS293" i="27"/>
  <c r="DM292" i="27"/>
  <c r="DN292" i="27"/>
  <c r="DG292" i="27"/>
  <c r="DF292" i="27"/>
  <c r="DO292" i="27"/>
  <c r="DE292" i="27"/>
  <c r="CL292" i="27" l="1"/>
  <c r="CM292" i="27"/>
  <c r="CJ293" i="27"/>
  <c r="CM293" i="27" s="1"/>
  <c r="DM293" i="27"/>
  <c r="DN293" i="27"/>
  <c r="BS294" i="27"/>
  <c r="CT294" i="27"/>
  <c r="BQ294" i="27"/>
  <c r="BN294" i="27"/>
  <c r="CY294" i="27"/>
  <c r="CW294" i="27"/>
  <c r="BB295" i="27"/>
  <c r="BB263" i="28" s="1"/>
  <c r="BB264" i="28" s="1"/>
  <c r="DC294" i="27"/>
  <c r="BY294" i="27"/>
  <c r="CA294" i="27" s="1"/>
  <c r="CA295" i="27" s="1"/>
  <c r="CA298" i="27" s="1"/>
  <c r="I378" i="27" s="1"/>
  <c r="DK294" i="27"/>
  <c r="BE295" i="27"/>
  <c r="BE263" i="28" s="1"/>
  <c r="BE264" i="28" s="1"/>
  <c r="CD294" i="27"/>
  <c r="CF294" i="27" s="1"/>
  <c r="CF295" i="27" s="1"/>
  <c r="CF298" i="27" s="1"/>
  <c r="CI294" i="27"/>
  <c r="BO294" i="27"/>
  <c r="AV295" i="27"/>
  <c r="AV263" i="28" s="1"/>
  <c r="AV264" i="28" s="1"/>
  <c r="BM294" i="27"/>
  <c r="CS294" i="27"/>
  <c r="DO293" i="27"/>
  <c r="DF293" i="27"/>
  <c r="DG293" i="27"/>
  <c r="DE293" i="27"/>
  <c r="CL293" i="27" l="1"/>
  <c r="CK293" i="27"/>
  <c r="CI295" i="27"/>
  <c r="CI298" i="27" s="1"/>
  <c r="CJ294" i="27"/>
  <c r="CM294" i="27" s="1"/>
  <c r="CM295" i="27" s="1"/>
  <c r="L35" i="18"/>
  <c r="CD264" i="28"/>
  <c r="CF264" i="28" s="1"/>
  <c r="BY264" i="28"/>
  <c r="CA264" i="28" s="1"/>
  <c r="BE265" i="28"/>
  <c r="BO264" i="28"/>
  <c r="CI264" i="28"/>
  <c r="DK264" i="28"/>
  <c r="DC264" i="28"/>
  <c r="DM294" i="27"/>
  <c r="DM295" i="27" s="1"/>
  <c r="DN294" i="27"/>
  <c r="DN295" i="27" s="1"/>
  <c r="DE294" i="27"/>
  <c r="DE295" i="27" s="1"/>
  <c r="DO294" i="27"/>
  <c r="DO295" i="27" s="1"/>
  <c r="DG294" i="27"/>
  <c r="DG295" i="27" s="1"/>
  <c r="DF294" i="27"/>
  <c r="DF295" i="27" s="1"/>
  <c r="AV265" i="28"/>
  <c r="CS264" i="28"/>
  <c r="BM264" i="28"/>
  <c r="BQ264" i="28"/>
  <c r="CW264" i="28"/>
  <c r="BS264" i="28"/>
  <c r="BB265" i="28"/>
  <c r="BN264" i="28"/>
  <c r="CT264" i="28"/>
  <c r="CY264" i="28"/>
  <c r="J155" i="27" l="1"/>
  <c r="H152" i="27"/>
  <c r="CL294" i="27"/>
  <c r="CL295" i="27" s="1"/>
  <c r="H380" i="27"/>
  <c r="I380" i="27" s="1"/>
  <c r="X18" i="9" s="1"/>
  <c r="H375" i="27" s="1"/>
  <c r="I375" i="27" s="1"/>
  <c r="L32" i="18" s="1"/>
  <c r="M379" i="27"/>
  <c r="CJ264" i="28"/>
  <c r="CJ295" i="27"/>
  <c r="CK294" i="27"/>
  <c r="CK295" i="27" s="1"/>
  <c r="DM264" i="28"/>
  <c r="DN264" i="28"/>
  <c r="CD265" i="28"/>
  <c r="CF265" i="28" s="1"/>
  <c r="DC265" i="28"/>
  <c r="CI265" i="28"/>
  <c r="CJ265" i="28" s="1"/>
  <c r="CM265" i="28" s="1"/>
  <c r="BO265" i="28"/>
  <c r="DK265" i="28"/>
  <c r="BY265" i="28"/>
  <c r="CA265" i="28" s="1"/>
  <c r="BE266" i="28"/>
  <c r="BB266" i="28"/>
  <c r="BN265" i="28"/>
  <c r="BS265" i="28"/>
  <c r="BQ265" i="28"/>
  <c r="CT265" i="28"/>
  <c r="CY265" i="28"/>
  <c r="CW265" i="28"/>
  <c r="BM265" i="28"/>
  <c r="CS265" i="28"/>
  <c r="AV266" i="28"/>
  <c r="DG264" i="28"/>
  <c r="DE264" i="28"/>
  <c r="DO264" i="28"/>
  <c r="DF264" i="28"/>
  <c r="P404" i="27" l="1"/>
  <c r="H412" i="27" s="1"/>
  <c r="I412" i="27" s="1"/>
  <c r="L69" i="18" s="1"/>
  <c r="J375" i="27"/>
  <c r="J376" i="27" s="1"/>
  <c r="J377" i="27" s="1"/>
  <c r="J378" i="27" s="1"/>
  <c r="J379" i="27" s="1"/>
  <c r="J380" i="27" s="1"/>
  <c r="J381" i="27" s="1"/>
  <c r="J382" i="27" s="1"/>
  <c r="L37" i="18"/>
  <c r="I404" i="27"/>
  <c r="H432" i="27" s="1"/>
  <c r="I432" i="27" s="1"/>
  <c r="CL265" i="28"/>
  <c r="CK264" i="28"/>
  <c r="CL264" i="28"/>
  <c r="CK265" i="28"/>
  <c r="CM264" i="28"/>
  <c r="BN266" i="28"/>
  <c r="BS266" i="28"/>
  <c r="CT266" i="28"/>
  <c r="CW266" i="28"/>
  <c r="CY266" i="28"/>
  <c r="BQ266" i="28"/>
  <c r="BB267" i="28"/>
  <c r="A165" i="27"/>
  <c r="A164" i="27"/>
  <c r="A157" i="27"/>
  <c r="A162" i="27"/>
  <c r="CI266" i="28"/>
  <c r="BO266" i="28"/>
  <c r="DK266" i="28"/>
  <c r="CD266" i="28"/>
  <c r="CF266" i="28" s="1"/>
  <c r="DC266" i="28"/>
  <c r="BY266" i="28"/>
  <c r="CA266" i="28" s="1"/>
  <c r="BE267" i="28"/>
  <c r="DM265" i="28"/>
  <c r="DN265" i="28"/>
  <c r="DO265" i="28"/>
  <c r="DE265" i="28"/>
  <c r="DF265" i="28"/>
  <c r="DG265" i="28"/>
  <c r="AV267" i="28"/>
  <c r="BM266" i="28"/>
  <c r="CS266" i="28"/>
  <c r="P411" i="27" l="1"/>
  <c r="P408" i="27"/>
  <c r="L61" i="18"/>
  <c r="P407" i="27"/>
  <c r="H411" i="27"/>
  <c r="I411" i="27" s="1"/>
  <c r="L68" i="18" s="1"/>
  <c r="H407" i="27"/>
  <c r="I407" i="27" s="1"/>
  <c r="L64" i="18" s="1"/>
  <c r="H408" i="27"/>
  <c r="I408" i="27" s="1"/>
  <c r="L65" i="18" s="1"/>
  <c r="H409" i="27"/>
  <c r="I409" i="27" s="1"/>
  <c r="L66" i="18" s="1"/>
  <c r="P413" i="27"/>
  <c r="P412" i="27"/>
  <c r="P409" i="27"/>
  <c r="CJ266" i="28"/>
  <c r="CK266" i="28" s="1"/>
  <c r="M435" i="27"/>
  <c r="L89" i="18"/>
  <c r="DN266" i="28"/>
  <c r="DM266" i="28"/>
  <c r="BS267" i="28"/>
  <c r="BQ267" i="28"/>
  <c r="CW267" i="28"/>
  <c r="BN267" i="28"/>
  <c r="CY267" i="28"/>
  <c r="BB268" i="28"/>
  <c r="CT267" i="28"/>
  <c r="A167" i="27"/>
  <c r="BM267" i="28"/>
  <c r="AV268" i="28"/>
  <c r="CS267" i="28"/>
  <c r="A161" i="27"/>
  <c r="A160" i="27"/>
  <c r="F160" i="27"/>
  <c r="A159" i="27"/>
  <c r="F159" i="27"/>
  <c r="CD267" i="28"/>
  <c r="CF267" i="28" s="1"/>
  <c r="DK267" i="28"/>
  <c r="DC267" i="28"/>
  <c r="BE268" i="28"/>
  <c r="BO267" i="28"/>
  <c r="CI267" i="28"/>
  <c r="BY267" i="28"/>
  <c r="CA267" i="28" s="1"/>
  <c r="A172" i="27"/>
  <c r="F169" i="27"/>
  <c r="A169" i="27"/>
  <c r="A175" i="27"/>
  <c r="A177" i="27"/>
  <c r="F158" i="27"/>
  <c r="A158" i="27"/>
  <c r="F165" i="27"/>
  <c r="F167" i="27" s="1"/>
  <c r="A166" i="27"/>
  <c r="DG266" i="28"/>
  <c r="DO266" i="28"/>
  <c r="DE266" i="28"/>
  <c r="DF266" i="28"/>
  <c r="F163" i="27"/>
  <c r="A163" i="27"/>
  <c r="J383" i="27"/>
  <c r="P427" i="27" l="1"/>
  <c r="P428" i="27" s="1"/>
  <c r="I428" i="27"/>
  <c r="I430" i="27" s="1"/>
  <c r="CM266" i="28"/>
  <c r="CJ267" i="28"/>
  <c r="CL267" i="28" s="1"/>
  <c r="CL266" i="28"/>
  <c r="F162" i="27"/>
  <c r="F179" i="27"/>
  <c r="BM268" i="28"/>
  <c r="CS268" i="28"/>
  <c r="AV269" i="28"/>
  <c r="F176" i="27"/>
  <c r="F178" i="27" s="1"/>
  <c r="A176" i="27"/>
  <c r="A170" i="27"/>
  <c r="F170" i="27"/>
  <c r="F173" i="27" s="1"/>
  <c r="A174" i="27"/>
  <c r="F174" i="27"/>
  <c r="A178" i="27"/>
  <c r="BE269" i="28"/>
  <c r="BY268" i="28"/>
  <c r="CA268" i="28" s="1"/>
  <c r="DC268" i="28"/>
  <c r="DK268" i="28"/>
  <c r="CI268" i="28"/>
  <c r="CJ268" i="28" s="1"/>
  <c r="CM268" i="28" s="1"/>
  <c r="CD268" i="28"/>
  <c r="CF268" i="28" s="1"/>
  <c r="BO268" i="28"/>
  <c r="F171" i="27"/>
  <c r="A171" i="27"/>
  <c r="DG267" i="28"/>
  <c r="DO267" i="28"/>
  <c r="DE267" i="28"/>
  <c r="DF267" i="28"/>
  <c r="BS268" i="28"/>
  <c r="CW268" i="28"/>
  <c r="CT268" i="28"/>
  <c r="BB269" i="28"/>
  <c r="BQ268" i="28"/>
  <c r="CY268" i="28"/>
  <c r="BN268" i="28"/>
  <c r="A183" i="27"/>
  <c r="A188" i="27"/>
  <c r="F180" i="27"/>
  <c r="A186" i="27"/>
  <c r="A180" i="27"/>
  <c r="A173" i="27"/>
  <c r="DM267" i="28"/>
  <c r="DN267" i="28"/>
  <c r="J384" i="27"/>
  <c r="L85" i="18" l="1"/>
  <c r="G155" i="27"/>
  <c r="I447" i="27"/>
  <c r="L104" i="18" s="1"/>
  <c r="F155" i="27"/>
  <c r="L87" i="18"/>
  <c r="CK268" i="28"/>
  <c r="CK267" i="28"/>
  <c r="CL268" i="28"/>
  <c r="CM267" i="28"/>
  <c r="A185" i="27"/>
  <c r="F185" i="27"/>
  <c r="DO268" i="28"/>
  <c r="DF268" i="28"/>
  <c r="DG268" i="28"/>
  <c r="DE268" i="28"/>
  <c r="CT269" i="28"/>
  <c r="BS269" i="28"/>
  <c r="CW269" i="28"/>
  <c r="CY269" i="28"/>
  <c r="BQ269" i="28"/>
  <c r="BB270" i="28"/>
  <c r="BN269" i="28"/>
  <c r="A189" i="27"/>
  <c r="CD269" i="28"/>
  <c r="CF269" i="28" s="1"/>
  <c r="CI269" i="28"/>
  <c r="CJ269" i="28" s="1"/>
  <c r="CL269" i="28" s="1"/>
  <c r="DC269" i="28"/>
  <c r="BO269" i="28"/>
  <c r="DK269" i="28"/>
  <c r="BY269" i="28"/>
  <c r="CA269" i="28" s="1"/>
  <c r="BE270" i="28"/>
  <c r="AV270" i="28"/>
  <c r="CS269" i="28"/>
  <c r="BM269" i="28"/>
  <c r="A182" i="27"/>
  <c r="F182" i="27"/>
  <c r="A184" i="27"/>
  <c r="F181" i="27"/>
  <c r="F184" i="27" s="1"/>
  <c r="A181" i="27"/>
  <c r="F187" i="27"/>
  <c r="F189" i="27" s="1"/>
  <c r="A187" i="27"/>
  <c r="DM268" i="28"/>
  <c r="DN268" i="28"/>
  <c r="J385" i="27"/>
  <c r="CK269" i="28" l="1"/>
  <c r="CM269" i="28"/>
  <c r="BM270" i="28"/>
  <c r="AV271" i="28"/>
  <c r="CS270" i="28"/>
  <c r="BE271" i="28"/>
  <c r="CD270" i="28"/>
  <c r="CF270" i="28" s="1"/>
  <c r="DK270" i="28"/>
  <c r="DC270" i="28"/>
  <c r="CI270" i="28"/>
  <c r="BY270" i="28"/>
  <c r="CA270" i="28" s="1"/>
  <c r="BO270" i="28"/>
  <c r="DN269" i="28"/>
  <c r="DM269" i="28"/>
  <c r="CW270" i="28"/>
  <c r="BN270" i="28"/>
  <c r="CY270" i="28"/>
  <c r="BS270" i="28"/>
  <c r="BQ270" i="28"/>
  <c r="CT270" i="28"/>
  <c r="BB271" i="28"/>
  <c r="DO269" i="28"/>
  <c r="DG269" i="28"/>
  <c r="DE269" i="28"/>
  <c r="DF269" i="28"/>
  <c r="J386" i="27"/>
  <c r="CJ270" i="28" l="1"/>
  <c r="CL270" i="28" s="1"/>
  <c r="DG270" i="28"/>
  <c r="DE270" i="28"/>
  <c r="DF270" i="28"/>
  <c r="DO270" i="28"/>
  <c r="DM270" i="28"/>
  <c r="DN270" i="28"/>
  <c r="BO271" i="28"/>
  <c r="DC271" i="28"/>
  <c r="BY271" i="28"/>
  <c r="CA271" i="28" s="1"/>
  <c r="CD271" i="28"/>
  <c r="CF271" i="28" s="1"/>
  <c r="CI271" i="28"/>
  <c r="CJ271" i="28" s="1"/>
  <c r="CK271" i="28" s="1"/>
  <c r="BE272" i="28"/>
  <c r="DK271" i="28"/>
  <c r="CY271" i="28"/>
  <c r="BQ271" i="28"/>
  <c r="BB272" i="28"/>
  <c r="CW271" i="28"/>
  <c r="BN271" i="28"/>
  <c r="CT271" i="28"/>
  <c r="BS271" i="28"/>
  <c r="CS271" i="28"/>
  <c r="BM271" i="28"/>
  <c r="AV272" i="28"/>
  <c r="J387" i="27"/>
  <c r="CK270" i="28" l="1"/>
  <c r="CL271" i="28"/>
  <c r="CM270" i="28"/>
  <c r="CM271" i="28"/>
  <c r="DN271" i="28"/>
  <c r="DM271" i="28"/>
  <c r="BE273" i="28"/>
  <c r="BY272" i="28"/>
  <c r="CA272" i="28" s="1"/>
  <c r="BO272" i="28"/>
  <c r="CI272" i="28"/>
  <c r="DC272" i="28"/>
  <c r="CD272" i="28"/>
  <c r="CF272" i="28" s="1"/>
  <c r="DK272" i="28"/>
  <c r="BS272" i="28"/>
  <c r="CW272" i="28"/>
  <c r="BN272" i="28"/>
  <c r="CT272" i="28"/>
  <c r="BB273" i="28"/>
  <c r="BQ272" i="28"/>
  <c r="CY272" i="28"/>
  <c r="CS272" i="28"/>
  <c r="BM272" i="28"/>
  <c r="AV273" i="28"/>
  <c r="DF271" i="28"/>
  <c r="DO271" i="28"/>
  <c r="DG271" i="28"/>
  <c r="DE271" i="28"/>
  <c r="J388" i="27"/>
  <c r="CJ272" i="28" l="1"/>
  <c r="CK272" i="28" s="1"/>
  <c r="DG272" i="28"/>
  <c r="DE272" i="28"/>
  <c r="DO272" i="28"/>
  <c r="DF272" i="28"/>
  <c r="BN273" i="28"/>
  <c r="BS273" i="28"/>
  <c r="CY273" i="28"/>
  <c r="BQ273" i="28"/>
  <c r="BB274" i="28"/>
  <c r="CT273" i="28"/>
  <c r="CW273" i="28"/>
  <c r="CS273" i="28"/>
  <c r="BM273" i="28"/>
  <c r="AV274" i="28"/>
  <c r="CI273" i="28"/>
  <c r="DC273" i="28"/>
  <c r="DK273" i="28"/>
  <c r="BY273" i="28"/>
  <c r="CA273" i="28" s="1"/>
  <c r="BO273" i="28"/>
  <c r="CD273" i="28"/>
  <c r="CF273" i="28" s="1"/>
  <c r="BE274" i="28"/>
  <c r="DN272" i="28"/>
  <c r="DM272" i="28"/>
  <c r="J389" i="27"/>
  <c r="CM272" i="28" l="1"/>
  <c r="CL272" i="28"/>
  <c r="CJ273" i="28"/>
  <c r="CM273" i="28" s="1"/>
  <c r="DO273" i="28"/>
  <c r="DF273" i="28"/>
  <c r="DE273" i="28"/>
  <c r="DG273" i="28"/>
  <c r="BM274" i="28"/>
  <c r="AV275" i="28"/>
  <c r="CS274" i="28"/>
  <c r="BE275" i="28"/>
  <c r="DC274" i="28"/>
  <c r="BY274" i="28"/>
  <c r="CA274" i="28" s="1"/>
  <c r="BO274" i="28"/>
  <c r="CI274" i="28"/>
  <c r="CD274" i="28"/>
  <c r="CF274" i="28" s="1"/>
  <c r="DK274" i="28"/>
  <c r="DN273" i="28"/>
  <c r="DM273" i="28"/>
  <c r="BN274" i="28"/>
  <c r="CT274" i="28"/>
  <c r="CW274" i="28"/>
  <c r="CY274" i="28"/>
  <c r="BS274" i="28"/>
  <c r="BB275" i="28"/>
  <c r="BQ274" i="28"/>
  <c r="J390" i="27"/>
  <c r="CL273" i="28" l="1"/>
  <c r="CK273" i="28"/>
  <c r="CJ274" i="28"/>
  <c r="CM274" i="28" s="1"/>
  <c r="DN274" i="28"/>
  <c r="DM274" i="28"/>
  <c r="BM275" i="28"/>
  <c r="AV276" i="28"/>
  <c r="CS275" i="28"/>
  <c r="DE274" i="28"/>
  <c r="DG274" i="28"/>
  <c r="DF274" i="28"/>
  <c r="DO274" i="28"/>
  <c r="BN275" i="28"/>
  <c r="CW275" i="28"/>
  <c r="CT275" i="28"/>
  <c r="CY275" i="28"/>
  <c r="BS275" i="28"/>
  <c r="BQ275" i="28"/>
  <c r="BB276" i="28"/>
  <c r="BE276" i="28"/>
  <c r="DC275" i="28"/>
  <c r="CI275" i="28"/>
  <c r="DK275" i="28"/>
  <c r="BY275" i="28"/>
  <c r="CA275" i="28" s="1"/>
  <c r="BO275" i="28"/>
  <c r="CD275" i="28"/>
  <c r="CF275" i="28" s="1"/>
  <c r="J391" i="27"/>
  <c r="CJ275" i="28" l="1"/>
  <c r="CK275" i="28" s="1"/>
  <c r="CL274" i="28"/>
  <c r="CK274" i="28"/>
  <c r="BM276" i="28"/>
  <c r="AV277" i="28"/>
  <c r="CS276" i="28"/>
  <c r="DO275" i="28"/>
  <c r="DG275" i="28"/>
  <c r="DE275" i="28"/>
  <c r="DF275" i="28"/>
  <c r="DN275" i="28"/>
  <c r="DM275" i="28"/>
  <c r="DK276" i="28"/>
  <c r="DC276" i="28"/>
  <c r="BY276" i="28"/>
  <c r="CA276" i="28" s="1"/>
  <c r="BO276" i="28"/>
  <c r="CD276" i="28"/>
  <c r="CF276" i="28" s="1"/>
  <c r="BE277" i="28"/>
  <c r="CI276" i="28"/>
  <c r="CT276" i="28"/>
  <c r="BB277" i="28"/>
  <c r="BS276" i="28"/>
  <c r="BQ276" i="28"/>
  <c r="BN276" i="28"/>
  <c r="CW276" i="28"/>
  <c r="CY276" i="28"/>
  <c r="J392" i="27"/>
  <c r="CL275" i="28" l="1"/>
  <c r="CM275" i="28"/>
  <c r="CJ276" i="28"/>
  <c r="CL276" i="28" s="1"/>
  <c r="DF276" i="28"/>
  <c r="DE276" i="28"/>
  <c r="DG276" i="28"/>
  <c r="DO276" i="28"/>
  <c r="BN277" i="28"/>
  <c r="CW277" i="28"/>
  <c r="BB278" i="28"/>
  <c r="BS277" i="28"/>
  <c r="CY277" i="28"/>
  <c r="CT277" i="28"/>
  <c r="BQ277" i="28"/>
  <c r="DM276" i="28"/>
  <c r="DN276" i="28"/>
  <c r="CI277" i="28"/>
  <c r="DC277" i="28"/>
  <c r="CD277" i="28"/>
  <c r="CF277" i="28" s="1"/>
  <c r="DK277" i="28"/>
  <c r="BE278" i="28"/>
  <c r="BO277" i="28"/>
  <c r="BY277" i="28"/>
  <c r="CA277" i="28" s="1"/>
  <c r="BM277" i="28"/>
  <c r="CS277" i="28"/>
  <c r="AV278" i="28"/>
  <c r="J393" i="27"/>
  <c r="CK276" i="28" l="1"/>
  <c r="CJ277" i="28"/>
  <c r="CK277" i="28" s="1"/>
  <c r="CM276" i="28"/>
  <c r="DG277" i="28"/>
  <c r="DF277" i="28"/>
  <c r="DO277" i="28"/>
  <c r="DE277" i="28"/>
  <c r="BB279" i="28"/>
  <c r="CY278" i="28"/>
  <c r="BS278" i="28"/>
  <c r="CW278" i="28"/>
  <c r="CT278" i="28"/>
  <c r="BN278" i="28"/>
  <c r="BQ278" i="28"/>
  <c r="BY278" i="28"/>
  <c r="CA278" i="28" s="1"/>
  <c r="CI278" i="28"/>
  <c r="DC278" i="28"/>
  <c r="BE279" i="28"/>
  <c r="DK278" i="28"/>
  <c r="CD278" i="28"/>
  <c r="CF278" i="28" s="1"/>
  <c r="BO278" i="28"/>
  <c r="DN277" i="28"/>
  <c r="DM277" i="28"/>
  <c r="CS278" i="28"/>
  <c r="BM278" i="28"/>
  <c r="AV279" i="28"/>
  <c r="J394" i="27"/>
  <c r="CM277" i="28" l="1"/>
  <c r="CL277" i="28"/>
  <c r="CJ278" i="28"/>
  <c r="CL278" i="28" s="1"/>
  <c r="BN279" i="28"/>
  <c r="BQ279" i="28"/>
  <c r="BS279" i="28"/>
  <c r="CT279" i="28"/>
  <c r="CW279" i="28"/>
  <c r="CY279" i="28"/>
  <c r="BB280" i="28"/>
  <c r="DN278" i="28"/>
  <c r="DM278" i="28"/>
  <c r="CS279" i="28"/>
  <c r="BM279" i="28"/>
  <c r="AV280" i="28"/>
  <c r="CI279" i="28"/>
  <c r="BE280" i="28"/>
  <c r="DK279" i="28"/>
  <c r="BO279" i="28"/>
  <c r="BY279" i="28"/>
  <c r="CA279" i="28" s="1"/>
  <c r="CD279" i="28"/>
  <c r="CF279" i="28" s="1"/>
  <c r="DC279" i="28"/>
  <c r="DG278" i="28"/>
  <c r="DF278" i="28"/>
  <c r="DE278" i="28"/>
  <c r="DO278" i="28"/>
  <c r="J395" i="27"/>
  <c r="J396" i="27" s="1"/>
  <c r="J397" i="27" s="1"/>
  <c r="J398" i="27" s="1"/>
  <c r="J399" i="27" s="1"/>
  <c r="J400" i="27" s="1"/>
  <c r="J401" i="27" s="1"/>
  <c r="J402" i="27" s="1"/>
  <c r="J403" i="27" s="1"/>
  <c r="CK278" i="28" l="1"/>
  <c r="CM278" i="28"/>
  <c r="CJ279" i="28"/>
  <c r="CL279" i="28" s="1"/>
  <c r="BQ280" i="28"/>
  <c r="CY280" i="28"/>
  <c r="BN280" i="28"/>
  <c r="CT280" i="28"/>
  <c r="BS280" i="28"/>
  <c r="BB281" i="28"/>
  <c r="CW280" i="28"/>
  <c r="DO279" i="28"/>
  <c r="DF279" i="28"/>
  <c r="DE279" i="28"/>
  <c r="DG279" i="28"/>
  <c r="BM280" i="28"/>
  <c r="AV281" i="28"/>
  <c r="CS280" i="28"/>
  <c r="DM279" i="28"/>
  <c r="DN279" i="28"/>
  <c r="BY280" i="28"/>
  <c r="CA280" i="28" s="1"/>
  <c r="BE281" i="28"/>
  <c r="DC280" i="28"/>
  <c r="CD280" i="28"/>
  <c r="CF280" i="28" s="1"/>
  <c r="DK280" i="28"/>
  <c r="BO280" i="28"/>
  <c r="CI280" i="28"/>
  <c r="CJ280" i="28" s="1"/>
  <c r="CK280" i="28" s="1"/>
  <c r="J404" i="27"/>
  <c r="J405" i="27" s="1"/>
  <c r="CK279" i="28" l="1"/>
  <c r="CM279" i="28"/>
  <c r="CL280" i="28"/>
  <c r="CM280" i="28"/>
  <c r="DN280" i="28"/>
  <c r="DM280" i="28"/>
  <c r="CS281" i="28"/>
  <c r="BM281" i="28"/>
  <c r="AV282" i="28"/>
  <c r="DG280" i="28"/>
  <c r="DF280" i="28"/>
  <c r="DO280" i="28"/>
  <c r="DE280" i="28"/>
  <c r="CT281" i="28"/>
  <c r="BQ281" i="28"/>
  <c r="BS281" i="28"/>
  <c r="CY281" i="28"/>
  <c r="CW281" i="28"/>
  <c r="BN281" i="28"/>
  <c r="BB282" i="28"/>
  <c r="CI281" i="28"/>
  <c r="BO281" i="28"/>
  <c r="BY281" i="28"/>
  <c r="CA281" i="28" s="1"/>
  <c r="CD281" i="28"/>
  <c r="CF281" i="28" s="1"/>
  <c r="BE282" i="28"/>
  <c r="DK281" i="28"/>
  <c r="DC281" i="28"/>
  <c r="J406" i="27"/>
  <c r="CJ281" i="28" l="1"/>
  <c r="DG281" i="28"/>
  <c r="DF281" i="28"/>
  <c r="DE281" i="28"/>
  <c r="DO281" i="28"/>
  <c r="CT282" i="28"/>
  <c r="BS282" i="28"/>
  <c r="BB283" i="28"/>
  <c r="BQ282" i="28"/>
  <c r="BN282" i="28"/>
  <c r="CY282" i="28"/>
  <c r="CW282" i="28"/>
  <c r="DN281" i="28"/>
  <c r="DM281" i="28"/>
  <c r="AV283" i="28"/>
  <c r="BM282" i="28"/>
  <c r="CS282" i="28"/>
  <c r="BO282" i="28"/>
  <c r="BY282" i="28"/>
  <c r="CA282" i="28" s="1"/>
  <c r="DK282" i="28"/>
  <c r="CD282" i="28"/>
  <c r="CF282" i="28" s="1"/>
  <c r="CI282" i="28"/>
  <c r="DC282" i="28"/>
  <c r="BE283" i="28"/>
  <c r="J407" i="27"/>
  <c r="CJ282" i="28" l="1"/>
  <c r="CL282" i="28" s="1"/>
  <c r="CK281" i="28"/>
  <c r="CM281" i="28"/>
  <c r="CL281" i="28"/>
  <c r="BS283" i="28"/>
  <c r="CY283" i="28"/>
  <c r="BN283" i="28"/>
  <c r="CW283" i="28"/>
  <c r="BQ283" i="28"/>
  <c r="BB284" i="28"/>
  <c r="CT283" i="28"/>
  <c r="DO282" i="28"/>
  <c r="DG282" i="28"/>
  <c r="DF282" i="28"/>
  <c r="DE282" i="28"/>
  <c r="AV284" i="28"/>
  <c r="BM283" i="28"/>
  <c r="CS283" i="28"/>
  <c r="CD283" i="28"/>
  <c r="CF283" i="28" s="1"/>
  <c r="BE284" i="28"/>
  <c r="DC283" i="28"/>
  <c r="BY283" i="28"/>
  <c r="CA283" i="28" s="1"/>
  <c r="DK283" i="28"/>
  <c r="CI283" i="28"/>
  <c r="BO283" i="28"/>
  <c r="DN282" i="28"/>
  <c r="DM282" i="28"/>
  <c r="J408" i="27"/>
  <c r="CM282" i="28" l="1"/>
  <c r="CK282" i="28"/>
  <c r="CJ283" i="28"/>
  <c r="CL283" i="28" s="1"/>
  <c r="BE285" i="28"/>
  <c r="BO284" i="28"/>
  <c r="BY284" i="28"/>
  <c r="CA284" i="28" s="1"/>
  <c r="DC284" i="28"/>
  <c r="CD284" i="28"/>
  <c r="CF284" i="28" s="1"/>
  <c r="CI284" i="28"/>
  <c r="DK284" i="28"/>
  <c r="CW284" i="28"/>
  <c r="CT284" i="28"/>
  <c r="BN284" i="28"/>
  <c r="CY284" i="28"/>
  <c r="BS284" i="28"/>
  <c r="BB285" i="28"/>
  <c r="BQ284" i="28"/>
  <c r="BM284" i="28"/>
  <c r="AV285" i="28"/>
  <c r="CS284" i="28"/>
  <c r="DM283" i="28"/>
  <c r="DN283" i="28"/>
  <c r="DE283" i="28"/>
  <c r="DO283" i="28"/>
  <c r="DF283" i="28"/>
  <c r="DG283" i="28"/>
  <c r="J409" i="27"/>
  <c r="CM283" i="28" l="1"/>
  <c r="CK283" i="28"/>
  <c r="CJ284" i="28"/>
  <c r="CM284" i="28" s="1"/>
  <c r="DN284" i="28"/>
  <c r="DM284" i="28"/>
  <c r="BS285" i="28"/>
  <c r="BN285" i="28"/>
  <c r="CY285" i="28"/>
  <c r="CW285" i="28"/>
  <c r="CT285" i="28"/>
  <c r="BB286" i="28"/>
  <c r="BQ285" i="28"/>
  <c r="DO284" i="28"/>
  <c r="DF284" i="28"/>
  <c r="DE284" i="28"/>
  <c r="DG284" i="28"/>
  <c r="CI285" i="28"/>
  <c r="CD285" i="28"/>
  <c r="CF285" i="28" s="1"/>
  <c r="BO285" i="28"/>
  <c r="DC285" i="28"/>
  <c r="DK285" i="28"/>
  <c r="BY285" i="28"/>
  <c r="CA285" i="28" s="1"/>
  <c r="BE286" i="28"/>
  <c r="AV286" i="28"/>
  <c r="CS285" i="28"/>
  <c r="BM285" i="28"/>
  <c r="J410" i="27"/>
  <c r="CK284" i="28" l="1"/>
  <c r="CL284" i="28"/>
  <c r="CJ285" i="28"/>
  <c r="CK285" i="28" s="1"/>
  <c r="BS286" i="28"/>
  <c r="BQ286" i="28"/>
  <c r="BN286" i="28"/>
  <c r="BB287" i="28"/>
  <c r="CW286" i="28"/>
  <c r="CY286" i="28"/>
  <c r="CT286" i="28"/>
  <c r="BM286" i="28"/>
  <c r="CS286" i="28"/>
  <c r="AV287" i="28"/>
  <c r="DC286" i="28"/>
  <c r="CD286" i="28"/>
  <c r="CF286" i="28" s="1"/>
  <c r="BO286" i="28"/>
  <c r="DK286" i="28"/>
  <c r="BY286" i="28"/>
  <c r="CA286" i="28" s="1"/>
  <c r="CI286" i="28"/>
  <c r="CJ286" i="28" s="1"/>
  <c r="CM286" i="28" s="1"/>
  <c r="BE287" i="28"/>
  <c r="DM285" i="28"/>
  <c r="DN285" i="28"/>
  <c r="DO285" i="28"/>
  <c r="DE285" i="28"/>
  <c r="DG285" i="28"/>
  <c r="DF285" i="28"/>
  <c r="J411" i="27"/>
  <c r="CM285" i="28" l="1"/>
  <c r="CL285" i="28"/>
  <c r="CK286" i="28"/>
  <c r="CL286" i="28"/>
  <c r="DN286" i="28"/>
  <c r="DM286" i="28"/>
  <c r="DO286" i="28"/>
  <c r="DE286" i="28"/>
  <c r="DF286" i="28"/>
  <c r="DG286" i="28"/>
  <c r="BN287" i="28"/>
  <c r="BB288" i="28"/>
  <c r="CW287" i="28"/>
  <c r="CT287" i="28"/>
  <c r="BS287" i="28"/>
  <c r="CY287" i="28"/>
  <c r="BQ287" i="28"/>
  <c r="BE288" i="28"/>
  <c r="BO287" i="28"/>
  <c r="CD287" i="28"/>
  <c r="CF287" i="28" s="1"/>
  <c r="CI287" i="28"/>
  <c r="CJ287" i="28" s="1"/>
  <c r="CM287" i="28" s="1"/>
  <c r="DK287" i="28"/>
  <c r="DC287" i="28"/>
  <c r="BY287" i="28"/>
  <c r="CA287" i="28" s="1"/>
  <c r="AV288" i="28"/>
  <c r="CS287" i="28"/>
  <c r="BM287" i="28"/>
  <c r="J412" i="27"/>
  <c r="CL287" i="28" l="1"/>
  <c r="CK287" i="28"/>
  <c r="DK288" i="28"/>
  <c r="BY288" i="28"/>
  <c r="CA288" i="28" s="1"/>
  <c r="DC288" i="28"/>
  <c r="BE289" i="28"/>
  <c r="BO288" i="28"/>
  <c r="CD288" i="28"/>
  <c r="CF288" i="28" s="1"/>
  <c r="CI288" i="28"/>
  <c r="BM288" i="28"/>
  <c r="AV289" i="28"/>
  <c r="CS288" i="28"/>
  <c r="DG287" i="28"/>
  <c r="DO287" i="28"/>
  <c r="DE287" i="28"/>
  <c r="DF287" i="28"/>
  <c r="DM287" i="28"/>
  <c r="DN287" i="28"/>
  <c r="BB289" i="28"/>
  <c r="BQ288" i="28"/>
  <c r="BS288" i="28"/>
  <c r="CW288" i="28"/>
  <c r="CY288" i="28"/>
  <c r="BN288" i="28"/>
  <c r="CT288" i="28"/>
  <c r="J413" i="27"/>
  <c r="CJ288" i="28" l="1"/>
  <c r="CK288" i="28" s="1"/>
  <c r="BO289" i="28"/>
  <c r="DK289" i="28"/>
  <c r="BY289" i="28"/>
  <c r="CA289" i="28" s="1"/>
  <c r="BE290" i="28"/>
  <c r="CD289" i="28"/>
  <c r="CF289" i="28" s="1"/>
  <c r="CI289" i="28"/>
  <c r="DC289" i="28"/>
  <c r="DG288" i="28"/>
  <c r="DO288" i="28"/>
  <c r="DE288" i="28"/>
  <c r="DF288" i="28"/>
  <c r="BN289" i="28"/>
  <c r="BS289" i="28"/>
  <c r="BQ289" i="28"/>
  <c r="CT289" i="28"/>
  <c r="CW289" i="28"/>
  <c r="BB290" i="28"/>
  <c r="CY289" i="28"/>
  <c r="AV290" i="28"/>
  <c r="BM289" i="28"/>
  <c r="CS289" i="28"/>
  <c r="DM288" i="28"/>
  <c r="DN288" i="28"/>
  <c r="J414" i="27"/>
  <c r="CM288" i="28" l="1"/>
  <c r="CL288" i="28"/>
  <c r="CJ289" i="28"/>
  <c r="CM289" i="28" s="1"/>
  <c r="DF289" i="28"/>
  <c r="DO289" i="28"/>
  <c r="DG289" i="28"/>
  <c r="DE289" i="28"/>
  <c r="CS290" i="28"/>
  <c r="BM290" i="28"/>
  <c r="AV291" i="28"/>
  <c r="BE291" i="28"/>
  <c r="DK290" i="28"/>
  <c r="BY290" i="28"/>
  <c r="CA290" i="28" s="1"/>
  <c r="DC290" i="28"/>
  <c r="CI290" i="28"/>
  <c r="BO290" i="28"/>
  <c r="CD290" i="28"/>
  <c r="CF290" i="28" s="1"/>
  <c r="CT290" i="28"/>
  <c r="BN290" i="28"/>
  <c r="BQ290" i="28"/>
  <c r="BB291" i="28"/>
  <c r="BS290" i="28"/>
  <c r="CW290" i="28"/>
  <c r="CY290" i="28"/>
  <c r="DM289" i="28"/>
  <c r="DN289" i="28"/>
  <c r="J415" i="27"/>
  <c r="CK289" i="28" l="1"/>
  <c r="CL289" i="28"/>
  <c r="CJ290" i="28"/>
  <c r="CL290" i="28" s="1"/>
  <c r="AV292" i="28"/>
  <c r="CS291" i="28"/>
  <c r="BM291" i="28"/>
  <c r="DG290" i="28"/>
  <c r="DF290" i="28"/>
  <c r="DO290" i="28"/>
  <c r="DE290" i="28"/>
  <c r="BN291" i="28"/>
  <c r="CY291" i="28"/>
  <c r="CW291" i="28"/>
  <c r="BB292" i="28"/>
  <c r="BS291" i="28"/>
  <c r="CT291" i="28"/>
  <c r="BQ291" i="28"/>
  <c r="DN290" i="28"/>
  <c r="DM290" i="28"/>
  <c r="BY291" i="28"/>
  <c r="CA291" i="28" s="1"/>
  <c r="BO291" i="28"/>
  <c r="CD291" i="28"/>
  <c r="CF291" i="28" s="1"/>
  <c r="CI291" i="28"/>
  <c r="DK291" i="28"/>
  <c r="DC291" i="28"/>
  <c r="BE292" i="28"/>
  <c r="J416" i="27"/>
  <c r="CK290" i="28" l="1"/>
  <c r="CM290" i="28"/>
  <c r="CJ291" i="28"/>
  <c r="CK291" i="28" s="1"/>
  <c r="BY292" i="28"/>
  <c r="CA292" i="28" s="1"/>
  <c r="CI292" i="28"/>
  <c r="CJ292" i="28" s="1"/>
  <c r="CK292" i="28" s="1"/>
  <c r="DC292" i="28"/>
  <c r="BO292" i="28"/>
  <c r="CD292" i="28"/>
  <c r="CF292" i="28" s="1"/>
  <c r="BE293" i="28"/>
  <c r="DK292" i="28"/>
  <c r="DF291" i="28"/>
  <c r="DO291" i="28"/>
  <c r="DE291" i="28"/>
  <c r="DG291" i="28"/>
  <c r="DN291" i="28"/>
  <c r="DM291" i="28"/>
  <c r="CT292" i="28"/>
  <c r="BS292" i="28"/>
  <c r="BN292" i="28"/>
  <c r="CW292" i="28"/>
  <c r="BQ292" i="28"/>
  <c r="BB293" i="28"/>
  <c r="CY292" i="28"/>
  <c r="AV293" i="28"/>
  <c r="BM292" i="28"/>
  <c r="CS292" i="28"/>
  <c r="J417" i="27"/>
  <c r="J418" i="27" s="1"/>
  <c r="J419" i="27" s="1"/>
  <c r="J420" i="27" s="1"/>
  <c r="J421" i="27" s="1"/>
  <c r="J422" i="27" s="1"/>
  <c r="J423" i="27" s="1"/>
  <c r="J424" i="27" s="1"/>
  <c r="J425" i="27" s="1"/>
  <c r="J426" i="27" s="1"/>
  <c r="J427" i="27" s="1"/>
  <c r="J428" i="27" s="1"/>
  <c r="J429" i="27" s="1"/>
  <c r="J430" i="27" s="1"/>
  <c r="J431" i="27" s="1"/>
  <c r="J432" i="27" s="1"/>
  <c r="J433" i="27" s="1"/>
  <c r="J434" i="27" s="1"/>
  <c r="J435" i="27" s="1"/>
  <c r="J436" i="27" s="1"/>
  <c r="J437" i="27" s="1"/>
  <c r="J438" i="27" s="1"/>
  <c r="J439" i="27" s="1"/>
  <c r="J440" i="27" s="1"/>
  <c r="J441" i="27" s="1"/>
  <c r="J442" i="27" s="1"/>
  <c r="J443" i="27" s="1"/>
  <c r="J444" i="27" s="1"/>
  <c r="J445" i="27" s="1"/>
  <c r="J446" i="27" s="1"/>
  <c r="J447" i="27" s="1"/>
  <c r="J448" i="27" s="1"/>
  <c r="J449" i="27" s="1"/>
  <c r="J450" i="27" s="1"/>
  <c r="J451" i="27" s="1"/>
  <c r="J452" i="27" s="1"/>
  <c r="J453" i="27" s="1"/>
  <c r="J454" i="27" s="1"/>
  <c r="J455" i="27" s="1"/>
  <c r="J456" i="27" s="1"/>
  <c r="J457" i="27" s="1"/>
  <c r="J67" i="27" s="1"/>
  <c r="CL292" i="28" l="1"/>
  <c r="CL291" i="28"/>
  <c r="CM292" i="28"/>
  <c r="CM291" i="28"/>
  <c r="BM293" i="28"/>
  <c r="AV294" i="28"/>
  <c r="CS293" i="28"/>
  <c r="DM292" i="28"/>
  <c r="DN292" i="28"/>
  <c r="BO293" i="28"/>
  <c r="DK293" i="28"/>
  <c r="CI293" i="28"/>
  <c r="BY293" i="28"/>
  <c r="CA293" i="28" s="1"/>
  <c r="CD293" i="28"/>
  <c r="CF293" i="28" s="1"/>
  <c r="BE294" i="28"/>
  <c r="DC293" i="28"/>
  <c r="BN293" i="28"/>
  <c r="CW293" i="28"/>
  <c r="BS293" i="28"/>
  <c r="BQ293" i="28"/>
  <c r="CY293" i="28"/>
  <c r="CT293" i="28"/>
  <c r="BB294" i="28"/>
  <c r="DG292" i="28"/>
  <c r="DO292" i="28"/>
  <c r="DE292" i="28"/>
  <c r="DF292" i="28"/>
  <c r="J65" i="27"/>
  <c r="J66" i="27"/>
  <c r="I64" i="27"/>
  <c r="A67" i="27"/>
  <c r="P65" i="27"/>
  <c r="A65" i="27"/>
  <c r="J64" i="27"/>
  <c r="H65" i="27"/>
  <c r="H67" i="27"/>
  <c r="P67" i="27"/>
  <c r="A66" i="27"/>
  <c r="P64" i="27"/>
  <c r="I65" i="27"/>
  <c r="A64" i="27"/>
  <c r="J98" i="27"/>
  <c r="H87" i="27"/>
  <c r="I94" i="27"/>
  <c r="J110" i="27"/>
  <c r="I84" i="27"/>
  <c r="P83" i="27"/>
  <c r="H114" i="27"/>
  <c r="A86" i="27"/>
  <c r="H128" i="27"/>
  <c r="J120" i="27"/>
  <c r="A88" i="27"/>
  <c r="I100" i="27"/>
  <c r="A140" i="27"/>
  <c r="J115" i="27"/>
  <c r="A83" i="27"/>
  <c r="H68" i="27"/>
  <c r="H138" i="27"/>
  <c r="I132" i="27"/>
  <c r="I126" i="27"/>
  <c r="I87" i="27"/>
  <c r="H86" i="27"/>
  <c r="P76" i="27"/>
  <c r="I95" i="27"/>
  <c r="A136" i="27"/>
  <c r="A96" i="27"/>
  <c r="I68" i="27"/>
  <c r="A144" i="27"/>
  <c r="A91" i="27"/>
  <c r="P107" i="27"/>
  <c r="P73" i="27"/>
  <c r="H135" i="27"/>
  <c r="J125" i="27"/>
  <c r="I130" i="27"/>
  <c r="J126" i="27"/>
  <c r="I74" i="27"/>
  <c r="I79" i="27"/>
  <c r="A75" i="27"/>
  <c r="I93" i="27"/>
  <c r="J90" i="27"/>
  <c r="P117" i="27"/>
  <c r="J94" i="27"/>
  <c r="I135" i="27"/>
  <c r="H122" i="27"/>
  <c r="P141" i="27"/>
  <c r="H100" i="27"/>
  <c r="J117" i="27"/>
  <c r="I117" i="27"/>
  <c r="P90" i="27"/>
  <c r="A108" i="27"/>
  <c r="P115" i="27"/>
  <c r="I116" i="27"/>
  <c r="I124" i="27"/>
  <c r="A111" i="27"/>
  <c r="P136" i="27"/>
  <c r="A89" i="27"/>
  <c r="P127" i="27"/>
  <c r="P132" i="27"/>
  <c r="I75" i="27"/>
  <c r="A98" i="27"/>
  <c r="I102" i="27"/>
  <c r="J137" i="27"/>
  <c r="J118" i="27"/>
  <c r="J75" i="27"/>
  <c r="J103" i="27"/>
  <c r="A90" i="27"/>
  <c r="P100" i="27"/>
  <c r="I112" i="27"/>
  <c r="H99" i="27"/>
  <c r="A127" i="27"/>
  <c r="I89" i="27"/>
  <c r="I85" i="27"/>
  <c r="H126" i="27"/>
  <c r="J108" i="27"/>
  <c r="H139" i="27"/>
  <c r="H105" i="27"/>
  <c r="H69" i="27"/>
  <c r="P130" i="27"/>
  <c r="H96" i="27"/>
  <c r="A107" i="27"/>
  <c r="H141" i="27"/>
  <c r="P121" i="27"/>
  <c r="P95" i="27"/>
  <c r="A109" i="27"/>
  <c r="H85" i="27"/>
  <c r="H143" i="27"/>
  <c r="A110" i="27"/>
  <c r="H140" i="27"/>
  <c r="J84" i="27"/>
  <c r="H144" i="27"/>
  <c r="J96" i="27"/>
  <c r="H120" i="27"/>
  <c r="H102" i="27"/>
  <c r="I134" i="27"/>
  <c r="A87" i="27"/>
  <c r="P139" i="27"/>
  <c r="H136" i="27"/>
  <c r="J80" i="27"/>
  <c r="P105" i="27"/>
  <c r="J138" i="27"/>
  <c r="A114" i="27"/>
  <c r="I136" i="27"/>
  <c r="A103" i="27"/>
  <c r="I125" i="27"/>
  <c r="P110" i="27"/>
  <c r="P106" i="27"/>
  <c r="A113" i="27"/>
  <c r="A126" i="27"/>
  <c r="I114" i="27"/>
  <c r="I140" i="27"/>
  <c r="J140" i="27"/>
  <c r="I109" i="27"/>
  <c r="H104" i="27"/>
  <c r="H79" i="27"/>
  <c r="P89" i="27"/>
  <c r="I142" i="27"/>
  <c r="H90" i="27"/>
  <c r="J88" i="27"/>
  <c r="J85" i="27"/>
  <c r="A118" i="27"/>
  <c r="I122" i="27"/>
  <c r="I115" i="27"/>
  <c r="I78" i="27"/>
  <c r="J142" i="27"/>
  <c r="A93" i="27"/>
  <c r="A85" i="27"/>
  <c r="I119" i="27"/>
  <c r="P112" i="27"/>
  <c r="H109" i="27"/>
  <c r="P84" i="27"/>
  <c r="A72" i="27"/>
  <c r="H94" i="27"/>
  <c r="I97" i="27"/>
  <c r="J72" i="27"/>
  <c r="I76" i="27"/>
  <c r="H101" i="27"/>
  <c r="A125" i="27"/>
  <c r="P93" i="27"/>
  <c r="A121" i="27"/>
  <c r="J113" i="27"/>
  <c r="A128" i="27"/>
  <c r="A139" i="27"/>
  <c r="J119" i="27"/>
  <c r="P92" i="27"/>
  <c r="I96" i="27"/>
  <c r="P116" i="27"/>
  <c r="I69" i="27"/>
  <c r="P111" i="27"/>
  <c r="P101" i="27"/>
  <c r="P72" i="27"/>
  <c r="H112" i="27"/>
  <c r="J82" i="27"/>
  <c r="J116" i="27"/>
  <c r="J114" i="27"/>
  <c r="P118" i="27"/>
  <c r="A115" i="27"/>
  <c r="J86" i="27"/>
  <c r="H132" i="27"/>
  <c r="P81" i="27"/>
  <c r="A81" i="27"/>
  <c r="J134" i="27"/>
  <c r="J132" i="27"/>
  <c r="P99" i="27"/>
  <c r="J95" i="27"/>
  <c r="H118" i="27"/>
  <c r="I82" i="27"/>
  <c r="I144" i="27"/>
  <c r="J81" i="27"/>
  <c r="A122" i="27"/>
  <c r="H110" i="27"/>
  <c r="A116" i="27"/>
  <c r="A133" i="27"/>
  <c r="P131" i="27"/>
  <c r="A130" i="27"/>
  <c r="J112" i="27"/>
  <c r="A92" i="27"/>
  <c r="H137" i="27"/>
  <c r="J77" i="27"/>
  <c r="A79" i="27"/>
  <c r="A77" i="27"/>
  <c r="H103" i="27"/>
  <c r="J122" i="27"/>
  <c r="J106" i="27"/>
  <c r="I105" i="27"/>
  <c r="H92" i="27"/>
  <c r="H133" i="27"/>
  <c r="J83" i="27"/>
  <c r="A82" i="27"/>
  <c r="I107" i="27"/>
  <c r="A97" i="27"/>
  <c r="J143" i="27"/>
  <c r="H81" i="27"/>
  <c r="J87" i="27"/>
  <c r="I101" i="27"/>
  <c r="A117" i="27"/>
  <c r="P138" i="27"/>
  <c r="P77" i="27"/>
  <c r="I90" i="27"/>
  <c r="A124" i="27"/>
  <c r="J133" i="27"/>
  <c r="J144" i="27"/>
  <c r="J71" i="27"/>
  <c r="P79" i="27"/>
  <c r="A76" i="27"/>
  <c r="A134" i="27"/>
  <c r="P122" i="27"/>
  <c r="P96" i="27"/>
  <c r="I86" i="27"/>
  <c r="I88" i="27"/>
  <c r="I106" i="27"/>
  <c r="H71" i="27"/>
  <c r="A138" i="27"/>
  <c r="I72" i="27"/>
  <c r="J135" i="27"/>
  <c r="J104" i="27"/>
  <c r="H84" i="27"/>
  <c r="A135" i="27"/>
  <c r="H106" i="27"/>
  <c r="H116" i="27"/>
  <c r="I71" i="27"/>
  <c r="J111" i="27"/>
  <c r="A143" i="27"/>
  <c r="A106" i="27"/>
  <c r="P128" i="27"/>
  <c r="A102" i="27"/>
  <c r="I99" i="27"/>
  <c r="J131" i="27"/>
  <c r="P87" i="27"/>
  <c r="A120" i="27"/>
  <c r="A104" i="27"/>
  <c r="J70" i="27"/>
  <c r="I103" i="27"/>
  <c r="H91" i="27"/>
  <c r="H111" i="27"/>
  <c r="A71" i="27"/>
  <c r="J124" i="27"/>
  <c r="I104" i="27"/>
  <c r="P108" i="27"/>
  <c r="H80" i="27"/>
  <c r="I83" i="27"/>
  <c r="H119" i="27"/>
  <c r="J89" i="27"/>
  <c r="P134" i="27"/>
  <c r="I110" i="27"/>
  <c r="J92" i="27"/>
  <c r="H113" i="27"/>
  <c r="J130" i="27"/>
  <c r="J109" i="27"/>
  <c r="J127" i="27"/>
  <c r="I133" i="27"/>
  <c r="P133" i="27"/>
  <c r="I141" i="27"/>
  <c r="H117" i="27"/>
  <c r="A123" i="27"/>
  <c r="J68" i="27"/>
  <c r="H72" i="27"/>
  <c r="P68" i="27"/>
  <c r="H127" i="27"/>
  <c r="A84" i="27"/>
  <c r="I138" i="27"/>
  <c r="P71" i="27"/>
  <c r="P69" i="27"/>
  <c r="A101" i="27"/>
  <c r="I91" i="27"/>
  <c r="J101" i="27"/>
  <c r="J139" i="27"/>
  <c r="J105" i="27"/>
  <c r="H129" i="27"/>
  <c r="H142" i="27"/>
  <c r="P102" i="27"/>
  <c r="J129" i="27"/>
  <c r="H97" i="27"/>
  <c r="J141" i="27"/>
  <c r="A100" i="27"/>
  <c r="I131" i="27"/>
  <c r="H89" i="27"/>
  <c r="J107" i="27"/>
  <c r="A137" i="27"/>
  <c r="H88" i="27"/>
  <c r="A95" i="27"/>
  <c r="H75" i="27"/>
  <c r="J79" i="27"/>
  <c r="P94" i="27"/>
  <c r="P104" i="27"/>
  <c r="P125" i="27"/>
  <c r="H108" i="27"/>
  <c r="P82" i="27"/>
  <c r="H95" i="27"/>
  <c r="A141" i="27"/>
  <c r="I127" i="27"/>
  <c r="A80" i="27"/>
  <c r="J91" i="27"/>
  <c r="P140" i="27"/>
  <c r="A74" i="27"/>
  <c r="H78" i="27"/>
  <c r="J136" i="27"/>
  <c r="I129" i="27"/>
  <c r="P74" i="27"/>
  <c r="P113" i="27"/>
  <c r="P97" i="27"/>
  <c r="J99" i="27"/>
  <c r="H121" i="27"/>
  <c r="P78" i="27"/>
  <c r="P98" i="27"/>
  <c r="J76" i="27"/>
  <c r="J128" i="27"/>
  <c r="A78" i="27"/>
  <c r="I98" i="27"/>
  <c r="P123" i="27"/>
  <c r="P124" i="27"/>
  <c r="A132" i="27"/>
  <c r="J121" i="27"/>
  <c r="H83" i="27"/>
  <c r="A131" i="27"/>
  <c r="H125" i="27"/>
  <c r="P126" i="27"/>
  <c r="I113" i="27"/>
  <c r="J93" i="27"/>
  <c r="P114" i="27"/>
  <c r="A129" i="27"/>
  <c r="H123" i="27"/>
  <c r="P144" i="27"/>
  <c r="I128" i="27"/>
  <c r="I108" i="27"/>
  <c r="P119" i="27"/>
  <c r="I73" i="27"/>
  <c r="A99" i="27"/>
  <c r="H77" i="27"/>
  <c r="H130" i="27"/>
  <c r="A73" i="27"/>
  <c r="P109" i="27"/>
  <c r="P143" i="27"/>
  <c r="I77" i="27"/>
  <c r="P103" i="27"/>
  <c r="P85" i="27"/>
  <c r="H107" i="27"/>
  <c r="H134" i="27"/>
  <c r="I143" i="27"/>
  <c r="H70" i="27"/>
  <c r="I70" i="27"/>
  <c r="P120" i="27"/>
  <c r="I81" i="27"/>
  <c r="H115" i="27"/>
  <c r="H74" i="27"/>
  <c r="H131" i="27"/>
  <c r="I80" i="27"/>
  <c r="I137" i="27"/>
  <c r="H124" i="27"/>
  <c r="P70" i="27"/>
  <c r="P80" i="27"/>
  <c r="A69" i="27"/>
  <c r="H76" i="27"/>
  <c r="P137" i="27"/>
  <c r="J123" i="27"/>
  <c r="I92" i="27"/>
  <c r="P86" i="27"/>
  <c r="I120" i="27"/>
  <c r="I66" i="27"/>
  <c r="I139" i="27"/>
  <c r="I111" i="27"/>
  <c r="I67" i="27"/>
  <c r="I118" i="27"/>
  <c r="P88" i="27"/>
  <c r="H82" i="27"/>
  <c r="H93" i="27"/>
  <c r="A105" i="27"/>
  <c r="P75" i="27"/>
  <c r="I123" i="27"/>
  <c r="A119" i="27"/>
  <c r="J100" i="27"/>
  <c r="P91" i="27"/>
  <c r="J97" i="27"/>
  <c r="A112" i="27"/>
  <c r="I121" i="27"/>
  <c r="A142" i="27"/>
  <c r="J69" i="27"/>
  <c r="P66" i="27"/>
  <c r="J73" i="27"/>
  <c r="A70" i="27"/>
  <c r="J74" i="27"/>
  <c r="P135" i="27"/>
  <c r="J78" i="27"/>
  <c r="A94" i="27"/>
  <c r="J102" i="27"/>
  <c r="P142" i="27"/>
  <c r="P129" i="27"/>
  <c r="H98" i="27"/>
  <c r="A68" i="27"/>
  <c r="H73" i="27"/>
  <c r="H64" i="27"/>
  <c r="H66" i="27"/>
  <c r="CJ293" i="28" l="1"/>
  <c r="DN293" i="28"/>
  <c r="DM293" i="28"/>
  <c r="BN294" i="28"/>
  <c r="BB295" i="28"/>
  <c r="BB263" i="29" s="1"/>
  <c r="BB264" i="29" s="1"/>
  <c r="BQ294" i="28"/>
  <c r="BS294" i="28"/>
  <c r="CW294" i="28"/>
  <c r="CY294" i="28"/>
  <c r="CT294" i="28"/>
  <c r="DG293" i="28"/>
  <c r="DO293" i="28"/>
  <c r="DE293" i="28"/>
  <c r="DF293" i="28"/>
  <c r="CD294" i="28"/>
  <c r="CF294" i="28" s="1"/>
  <c r="CF295" i="28" s="1"/>
  <c r="CF298" i="28" s="1"/>
  <c r="DK294" i="28"/>
  <c r="CI294" i="28"/>
  <c r="DC294" i="28"/>
  <c r="BY294" i="28"/>
  <c r="CA294" i="28" s="1"/>
  <c r="CA295" i="28" s="1"/>
  <c r="CA298" i="28" s="1"/>
  <c r="BO294" i="28"/>
  <c r="BE295" i="28"/>
  <c r="BE263" i="29" s="1"/>
  <c r="BE264" i="29" s="1"/>
  <c r="AV295" i="28"/>
  <c r="AV263" i="29" s="1"/>
  <c r="AV264" i="29" s="1"/>
  <c r="CS294" i="28"/>
  <c r="BM294" i="28"/>
  <c r="I378" i="28" l="1"/>
  <c r="H380" i="28" s="1"/>
  <c r="I380" i="28" s="1"/>
  <c r="M37" i="18" s="1"/>
  <c r="CI295" i="28"/>
  <c r="CI298" i="28" s="1"/>
  <c r="CJ294" i="28"/>
  <c r="CJ295" i="28" s="1"/>
  <c r="CL293" i="28"/>
  <c r="CM293" i="28"/>
  <c r="CK293" i="28"/>
  <c r="DM294" i="28"/>
  <c r="DM295" i="28" s="1"/>
  <c r="DN294" i="28"/>
  <c r="DN295" i="28" s="1"/>
  <c r="CS264" i="29"/>
  <c r="BM264" i="29"/>
  <c r="AV265" i="29"/>
  <c r="BE265" i="29"/>
  <c r="DK264" i="29"/>
  <c r="BO264" i="29"/>
  <c r="CD264" i="29"/>
  <c r="CF264" i="29" s="1"/>
  <c r="CI264" i="29"/>
  <c r="DC264" i="29"/>
  <c r="BY264" i="29"/>
  <c r="CA264" i="29" s="1"/>
  <c r="CT264" i="29"/>
  <c r="CY264" i="29"/>
  <c r="BN264" i="29"/>
  <c r="BQ264" i="29"/>
  <c r="BB265" i="29"/>
  <c r="BS264" i="29"/>
  <c r="CW264" i="29"/>
  <c r="DO294" i="28"/>
  <c r="DO295" i="28" s="1"/>
  <c r="DG294" i="28"/>
  <c r="DG295" i="28" s="1"/>
  <c r="DF294" i="28"/>
  <c r="DF295" i="28" s="1"/>
  <c r="DE294" i="28"/>
  <c r="DE295" i="28" s="1"/>
  <c r="J155" i="28" l="1"/>
  <c r="H152" i="28"/>
  <c r="M379" i="28"/>
  <c r="M35" i="18"/>
  <c r="Y18" i="9"/>
  <c r="H375" i="28" s="1"/>
  <c r="I375" i="28" s="1"/>
  <c r="P404" i="28" s="1"/>
  <c r="P413" i="28" s="1"/>
  <c r="CM294" i="28"/>
  <c r="CM295" i="28" s="1"/>
  <c r="CL294" i="28"/>
  <c r="CL295" i="28" s="1"/>
  <c r="CJ264" i="29"/>
  <c r="CK264" i="29" s="1"/>
  <c r="CK294" i="28"/>
  <c r="CK295" i="28" s="1"/>
  <c r="CS265" i="29"/>
  <c r="AV266" i="29"/>
  <c r="BM265" i="29"/>
  <c r="DE264" i="29"/>
  <c r="DF264" i="29"/>
  <c r="DO264" i="29"/>
  <c r="DG264" i="29"/>
  <c r="BS265" i="29"/>
  <c r="BQ265" i="29"/>
  <c r="BN265" i="29"/>
  <c r="BB266" i="29"/>
  <c r="CW265" i="29"/>
  <c r="CY265" i="29"/>
  <c r="CT265" i="29"/>
  <c r="DM264" i="29"/>
  <c r="DN264" i="29"/>
  <c r="DK265" i="29"/>
  <c r="BE266" i="29"/>
  <c r="BO265" i="29"/>
  <c r="BY265" i="29"/>
  <c r="CA265" i="29" s="1"/>
  <c r="CD265" i="29"/>
  <c r="CF265" i="29" s="1"/>
  <c r="CI265" i="29"/>
  <c r="DC265" i="29"/>
  <c r="H408" i="28" l="1"/>
  <c r="I408" i="28" s="1"/>
  <c r="M65" i="18" s="1"/>
  <c r="J375" i="28"/>
  <c r="J376" i="28" s="1"/>
  <c r="J377" i="28" s="1"/>
  <c r="J378" i="28" s="1"/>
  <c r="J379" i="28" s="1"/>
  <c r="J380" i="28" s="1"/>
  <c r="J381" i="28" s="1"/>
  <c r="J382" i="28" s="1"/>
  <c r="I404" i="28"/>
  <c r="M61" i="18" s="1"/>
  <c r="H407" i="28"/>
  <c r="I407" i="28" s="1"/>
  <c r="M64" i="18" s="1"/>
  <c r="H412" i="28"/>
  <c r="I412" i="28" s="1"/>
  <c r="M69" i="18" s="1"/>
  <c r="P407" i="28"/>
  <c r="P411" i="28"/>
  <c r="H409" i="28"/>
  <c r="I409" i="28" s="1"/>
  <c r="M66" i="18" s="1"/>
  <c r="M32" i="18"/>
  <c r="P412" i="28"/>
  <c r="H411" i="28"/>
  <c r="I411" i="28" s="1"/>
  <c r="M68" i="18" s="1"/>
  <c r="P408" i="28"/>
  <c r="P409" i="28"/>
  <c r="CM264" i="29"/>
  <c r="CJ265" i="29"/>
  <c r="CK265" i="29" s="1"/>
  <c r="CL264" i="29"/>
  <c r="DN265" i="29"/>
  <c r="DM265" i="29"/>
  <c r="CT266" i="29"/>
  <c r="BN266" i="29"/>
  <c r="BS266" i="29"/>
  <c r="CY266" i="29"/>
  <c r="CW266" i="29"/>
  <c r="BB267" i="29"/>
  <c r="BQ266" i="29"/>
  <c r="DF265" i="29"/>
  <c r="DE265" i="29"/>
  <c r="DG265" i="29"/>
  <c r="DO265" i="29"/>
  <c r="AV267" i="29"/>
  <c r="CS266" i="29"/>
  <c r="BM266" i="29"/>
  <c r="A164" i="28"/>
  <c r="A162" i="28"/>
  <c r="A165" i="28"/>
  <c r="A157" i="28"/>
  <c r="BO266" i="29"/>
  <c r="CI266" i="29"/>
  <c r="CD266" i="29"/>
  <c r="CF266" i="29" s="1"/>
  <c r="DK266" i="29"/>
  <c r="BE267" i="29"/>
  <c r="DC266" i="29"/>
  <c r="BY266" i="29"/>
  <c r="CA266" i="29" s="1"/>
  <c r="H432" i="28" l="1"/>
  <c r="I432" i="28" s="1"/>
  <c r="M89" i="18" s="1"/>
  <c r="P427" i="28"/>
  <c r="P428" i="28" s="1"/>
  <c r="I428" i="28"/>
  <c r="M85" i="18" s="1"/>
  <c r="CM265" i="29"/>
  <c r="CL265" i="29"/>
  <c r="CJ266" i="29"/>
  <c r="CM266" i="29" s="1"/>
  <c r="F159" i="28"/>
  <c r="A159" i="28"/>
  <c r="BS267" i="29"/>
  <c r="BB268" i="29"/>
  <c r="CY267" i="29"/>
  <c r="CT267" i="29"/>
  <c r="CW267" i="29"/>
  <c r="BN267" i="29"/>
  <c r="BQ267" i="29"/>
  <c r="A167" i="28"/>
  <c r="BM267" i="29"/>
  <c r="CS267" i="29"/>
  <c r="AV268" i="29"/>
  <c r="A177" i="28"/>
  <c r="A169" i="28"/>
  <c r="F169" i="28"/>
  <c r="A175" i="28"/>
  <c r="A172" i="28"/>
  <c r="DG266" i="29"/>
  <c r="DO266" i="29"/>
  <c r="DF266" i="29"/>
  <c r="DE266" i="29"/>
  <c r="F163" i="28"/>
  <c r="A163" i="28"/>
  <c r="BE268" i="29"/>
  <c r="DK267" i="29"/>
  <c r="BO267" i="29"/>
  <c r="BY267" i="29"/>
  <c r="CA267" i="29" s="1"/>
  <c r="CI267" i="29"/>
  <c r="CD267" i="29"/>
  <c r="CF267" i="29" s="1"/>
  <c r="DC267" i="29"/>
  <c r="A158" i="28"/>
  <c r="F158" i="28"/>
  <c r="DN266" i="29"/>
  <c r="DM266" i="29"/>
  <c r="F165" i="28"/>
  <c r="F167" i="28" s="1"/>
  <c r="A166" i="28"/>
  <c r="A161" i="28"/>
  <c r="A160" i="28"/>
  <c r="F160" i="28"/>
  <c r="J383" i="28"/>
  <c r="M435" i="28" l="1"/>
  <c r="G155" i="28"/>
  <c r="I430" i="28"/>
  <c r="CJ267" i="29"/>
  <c r="CK267" i="29" s="1"/>
  <c r="CL266" i="29"/>
  <c r="CK266" i="29"/>
  <c r="BM268" i="29"/>
  <c r="CS268" i="29"/>
  <c r="AV269" i="29"/>
  <c r="F179" i="28"/>
  <c r="DN267" i="29"/>
  <c r="DM267" i="29"/>
  <c r="A176" i="28"/>
  <c r="F176" i="28"/>
  <c r="F178" i="28" s="1"/>
  <c r="F170" i="28"/>
  <c r="F173" i="28" s="1"/>
  <c r="A170" i="28"/>
  <c r="CD268" i="29"/>
  <c r="CF268" i="29" s="1"/>
  <c r="CI268" i="29"/>
  <c r="BY268" i="29"/>
  <c r="CA268" i="29" s="1"/>
  <c r="DK268" i="29"/>
  <c r="DC268" i="29"/>
  <c r="BE269" i="29"/>
  <c r="BO268" i="29"/>
  <c r="F171" i="28"/>
  <c r="A171" i="28"/>
  <c r="A186" i="28"/>
  <c r="F180" i="28"/>
  <c r="A183" i="28"/>
  <c r="A188" i="28"/>
  <c r="A180" i="28"/>
  <c r="BN268" i="29"/>
  <c r="BB269" i="29"/>
  <c r="CW268" i="29"/>
  <c r="CY268" i="29"/>
  <c r="CT268" i="29"/>
  <c r="BQ268" i="29"/>
  <c r="BS268" i="29"/>
  <c r="A178" i="28"/>
  <c r="DF267" i="29"/>
  <c r="DO267" i="29"/>
  <c r="DE267" i="29"/>
  <c r="DG267" i="29"/>
  <c r="A173" i="28"/>
  <c r="F174" i="28"/>
  <c r="A174" i="28"/>
  <c r="F162" i="28"/>
  <c r="J384" i="28"/>
  <c r="I447" i="28" l="1"/>
  <c r="M104" i="18" s="1"/>
  <c r="F155" i="28"/>
  <c r="M87" i="18"/>
  <c r="CM267" i="29"/>
  <c r="CL267" i="29"/>
  <c r="CJ268" i="29"/>
  <c r="A189" i="28"/>
  <c r="F187" i="28"/>
  <c r="F189" i="28" s="1"/>
  <c r="A187" i="28"/>
  <c r="DN268" i="29"/>
  <c r="DM268" i="29"/>
  <c r="A181" i="28"/>
  <c r="F181" i="28"/>
  <c r="F184" i="28" s="1"/>
  <c r="A184" i="28"/>
  <c r="AV270" i="29"/>
  <c r="BM269" i="29"/>
  <c r="CS269" i="29"/>
  <c r="CT269" i="29"/>
  <c r="BN269" i="29"/>
  <c r="CY269" i="29"/>
  <c r="BQ269" i="29"/>
  <c r="CW269" i="29"/>
  <c r="BB270" i="29"/>
  <c r="BS269" i="29"/>
  <c r="A182" i="28"/>
  <c r="F182" i="28"/>
  <c r="BO269" i="29"/>
  <c r="CI269" i="29"/>
  <c r="DK269" i="29"/>
  <c r="BY269" i="29"/>
  <c r="CA269" i="29" s="1"/>
  <c r="DC269" i="29"/>
  <c r="BE270" i="29"/>
  <c r="CD269" i="29"/>
  <c r="CF269" i="29" s="1"/>
  <c r="A185" i="28"/>
  <c r="F185" i="28"/>
  <c r="DF268" i="29"/>
  <c r="DG268" i="29"/>
  <c r="DO268" i="29"/>
  <c r="DE268" i="29"/>
  <c r="J385" i="28"/>
  <c r="CJ269" i="29" l="1"/>
  <c r="CK269" i="29" s="1"/>
  <c r="CM268" i="29"/>
  <c r="CL268" i="29"/>
  <c r="CK268" i="29"/>
  <c r="CI270" i="29"/>
  <c r="DK270" i="29"/>
  <c r="CD270" i="29"/>
  <c r="CF270" i="29" s="1"/>
  <c r="BE271" i="29"/>
  <c r="DC270" i="29"/>
  <c r="BY270" i="29"/>
  <c r="CA270" i="29" s="1"/>
  <c r="BO270" i="29"/>
  <c r="DO269" i="29"/>
  <c r="DE269" i="29"/>
  <c r="DG269" i="29"/>
  <c r="DF269" i="29"/>
  <c r="BQ270" i="29"/>
  <c r="CY270" i="29"/>
  <c r="BS270" i="29"/>
  <c r="BN270" i="29"/>
  <c r="BB271" i="29"/>
  <c r="CW270" i="29"/>
  <c r="CT270" i="29"/>
  <c r="BM270" i="29"/>
  <c r="CS270" i="29"/>
  <c r="AV271" i="29"/>
  <c r="DN269" i="29"/>
  <c r="DM269" i="29"/>
  <c r="J386" i="28"/>
  <c r="CL269" i="29" l="1"/>
  <c r="CM269" i="29"/>
  <c r="CJ270" i="29"/>
  <c r="CK270" i="29" s="1"/>
  <c r="DO270" i="29"/>
  <c r="DF270" i="29"/>
  <c r="DE270" i="29"/>
  <c r="DG270" i="29"/>
  <c r="BE272" i="29"/>
  <c r="BO271" i="29"/>
  <c r="CI271" i="29"/>
  <c r="BY271" i="29"/>
  <c r="CA271" i="29" s="1"/>
  <c r="CD271" i="29"/>
  <c r="CF271" i="29" s="1"/>
  <c r="DK271" i="29"/>
  <c r="DC271" i="29"/>
  <c r="CS271" i="29"/>
  <c r="BM271" i="29"/>
  <c r="AV272" i="29"/>
  <c r="DN270" i="29"/>
  <c r="DM270" i="29"/>
  <c r="CT271" i="29"/>
  <c r="CY271" i="29"/>
  <c r="BQ271" i="29"/>
  <c r="BS271" i="29"/>
  <c r="BB272" i="29"/>
  <c r="BN271" i="29"/>
  <c r="CW271" i="29"/>
  <c r="J387" i="28"/>
  <c r="CL270" i="29" l="1"/>
  <c r="CJ271" i="29"/>
  <c r="CL271" i="29" s="1"/>
  <c r="CM270" i="29"/>
  <c r="AV273" i="29"/>
  <c r="CS272" i="29"/>
  <c r="BM272" i="29"/>
  <c r="BB273" i="29"/>
  <c r="CW272" i="29"/>
  <c r="CT272" i="29"/>
  <c r="BS272" i="29"/>
  <c r="CY272" i="29"/>
  <c r="BQ272" i="29"/>
  <c r="BN272" i="29"/>
  <c r="CD272" i="29"/>
  <c r="CF272" i="29" s="1"/>
  <c r="DK272" i="29"/>
  <c r="BO272" i="29"/>
  <c r="BE273" i="29"/>
  <c r="DC272" i="29"/>
  <c r="CI272" i="29"/>
  <c r="BY272" i="29"/>
  <c r="CA272" i="29" s="1"/>
  <c r="DE271" i="29"/>
  <c r="DF271" i="29"/>
  <c r="DO271" i="29"/>
  <c r="DG271" i="29"/>
  <c r="DN271" i="29"/>
  <c r="DM271" i="29"/>
  <c r="J388" i="28"/>
  <c r="CK271" i="29" l="1"/>
  <c r="CJ272" i="29"/>
  <c r="CM272" i="29" s="1"/>
  <c r="CM271" i="29"/>
  <c r="DF272" i="29"/>
  <c r="DG272" i="29"/>
  <c r="DO272" i="29"/>
  <c r="DE272" i="29"/>
  <c r="DC273" i="29"/>
  <c r="DK273" i="29"/>
  <c r="CD273" i="29"/>
  <c r="CF273" i="29" s="1"/>
  <c r="BO273" i="29"/>
  <c r="BY273" i="29"/>
  <c r="CA273" i="29" s="1"/>
  <c r="CI273" i="29"/>
  <c r="CJ273" i="29" s="1"/>
  <c r="CM273" i="29" s="1"/>
  <c r="BE274" i="29"/>
  <c r="DN272" i="29"/>
  <c r="DM272" i="29"/>
  <c r="BN273" i="29"/>
  <c r="BS273" i="29"/>
  <c r="BB274" i="29"/>
  <c r="CT273" i="29"/>
  <c r="CW273" i="29"/>
  <c r="CY273" i="29"/>
  <c r="BQ273" i="29"/>
  <c r="CS273" i="29"/>
  <c r="BM273" i="29"/>
  <c r="AV274" i="29"/>
  <c r="J389" i="28"/>
  <c r="CK272" i="29" l="1"/>
  <c r="CL272" i="29"/>
  <c r="CK273" i="29"/>
  <c r="CL273" i="29"/>
  <c r="BN274" i="29"/>
  <c r="CT274" i="29"/>
  <c r="CY274" i="29"/>
  <c r="BQ274" i="29"/>
  <c r="BS274" i="29"/>
  <c r="CW274" i="29"/>
  <c r="BB275" i="29"/>
  <c r="DM273" i="29"/>
  <c r="DN273" i="29"/>
  <c r="DO273" i="29"/>
  <c r="DE273" i="29"/>
  <c r="DF273" i="29"/>
  <c r="DG273" i="29"/>
  <c r="BO274" i="29"/>
  <c r="CI274" i="29"/>
  <c r="BY274" i="29"/>
  <c r="CA274" i="29" s="1"/>
  <c r="DC274" i="29"/>
  <c r="DK274" i="29"/>
  <c r="BE275" i="29"/>
  <c r="CD274" i="29"/>
  <c r="CF274" i="29" s="1"/>
  <c r="AV275" i="29"/>
  <c r="CS274" i="29"/>
  <c r="BM274" i="29"/>
  <c r="J390" i="28"/>
  <c r="CJ274" i="29" l="1"/>
  <c r="CL274" i="29" s="1"/>
  <c r="BB276" i="29"/>
  <c r="BS275" i="29"/>
  <c r="BN275" i="29"/>
  <c r="BQ275" i="29"/>
  <c r="CT275" i="29"/>
  <c r="CY275" i="29"/>
  <c r="CW275" i="29"/>
  <c r="DK275" i="29"/>
  <c r="BO275" i="29"/>
  <c r="CI275" i="29"/>
  <c r="DC275" i="29"/>
  <c r="BY275" i="29"/>
  <c r="CA275" i="29" s="1"/>
  <c r="CD275" i="29"/>
  <c r="CF275" i="29" s="1"/>
  <c r="BE276" i="29"/>
  <c r="DM274" i="29"/>
  <c r="DN274" i="29"/>
  <c r="BM275" i="29"/>
  <c r="CS275" i="29"/>
  <c r="AV276" i="29"/>
  <c r="DG274" i="29"/>
  <c r="DF274" i="29"/>
  <c r="DO274" i="29"/>
  <c r="DE274" i="29"/>
  <c r="J391" i="28"/>
  <c r="CK274" i="29" l="1"/>
  <c r="CJ275" i="29"/>
  <c r="CM275" i="29" s="1"/>
  <c r="CM274" i="29"/>
  <c r="DK276" i="29"/>
  <c r="DC276" i="29"/>
  <c r="CI276" i="29"/>
  <c r="CD276" i="29"/>
  <c r="CF276" i="29" s="1"/>
  <c r="BY276" i="29"/>
  <c r="CA276" i="29" s="1"/>
  <c r="BO276" i="29"/>
  <c r="BE277" i="29"/>
  <c r="AV277" i="29"/>
  <c r="BM276" i="29"/>
  <c r="CS276" i="29"/>
  <c r="DG275" i="29"/>
  <c r="DF275" i="29"/>
  <c r="DE275" i="29"/>
  <c r="DO275" i="29"/>
  <c r="DM275" i="29"/>
  <c r="DN275" i="29"/>
  <c r="BS276" i="29"/>
  <c r="CT276" i="29"/>
  <c r="BN276" i="29"/>
  <c r="CY276" i="29"/>
  <c r="CW276" i="29"/>
  <c r="BB277" i="29"/>
  <c r="BQ276" i="29"/>
  <c r="J392" i="28"/>
  <c r="CL275" i="29" l="1"/>
  <c r="CK275" i="29"/>
  <c r="CJ276" i="29"/>
  <c r="CL276" i="29" s="1"/>
  <c r="BM277" i="29"/>
  <c r="AV278" i="29"/>
  <c r="CS277" i="29"/>
  <c r="BS277" i="29"/>
  <c r="CY277" i="29"/>
  <c r="BN277" i="29"/>
  <c r="BQ277" i="29"/>
  <c r="CT277" i="29"/>
  <c r="CW277" i="29"/>
  <c r="BB278" i="29"/>
  <c r="BE278" i="29"/>
  <c r="DC277" i="29"/>
  <c r="BY277" i="29"/>
  <c r="CA277" i="29" s="1"/>
  <c r="BO277" i="29"/>
  <c r="CD277" i="29"/>
  <c r="CF277" i="29" s="1"/>
  <c r="DK277" i="29"/>
  <c r="CI277" i="29"/>
  <c r="CJ277" i="29" s="1"/>
  <c r="CL277" i="29" s="1"/>
  <c r="DF276" i="29"/>
  <c r="DE276" i="29"/>
  <c r="DG276" i="29"/>
  <c r="DO276" i="29"/>
  <c r="DM276" i="29"/>
  <c r="DN276" i="29"/>
  <c r="J393" i="28"/>
  <c r="CK276" i="29" l="1"/>
  <c r="CM277" i="29"/>
  <c r="CK277" i="29"/>
  <c r="CM276" i="29"/>
  <c r="DM277" i="29"/>
  <c r="DN277" i="29"/>
  <c r="DF277" i="29"/>
  <c r="DO277" i="29"/>
  <c r="DG277" i="29"/>
  <c r="DE277" i="29"/>
  <c r="CD278" i="29"/>
  <c r="CF278" i="29" s="1"/>
  <c r="DK278" i="29"/>
  <c r="BO278" i="29"/>
  <c r="DC278" i="29"/>
  <c r="BE279" i="29"/>
  <c r="BY278" i="29"/>
  <c r="CA278" i="29" s="1"/>
  <c r="CI278" i="29"/>
  <c r="BS278" i="29"/>
  <c r="BN278" i="29"/>
  <c r="CW278" i="29"/>
  <c r="BQ278" i="29"/>
  <c r="CY278" i="29"/>
  <c r="CT278" i="29"/>
  <c r="BB279" i="29"/>
  <c r="BM278" i="29"/>
  <c r="AV279" i="29"/>
  <c r="CS278" i="29"/>
  <c r="J394" i="28"/>
  <c r="CJ278" i="29" l="1"/>
  <c r="CK278" i="29" s="1"/>
  <c r="CS279" i="29"/>
  <c r="AV280" i="29"/>
  <c r="BM279" i="29"/>
  <c r="BS279" i="29"/>
  <c r="CT279" i="29"/>
  <c r="CY279" i="29"/>
  <c r="BN279" i="29"/>
  <c r="CW279" i="29"/>
  <c r="BQ279" i="29"/>
  <c r="BB280" i="29"/>
  <c r="CI279" i="29"/>
  <c r="CJ279" i="29" s="1"/>
  <c r="CK279" i="29" s="1"/>
  <c r="CD279" i="29"/>
  <c r="CF279" i="29" s="1"/>
  <c r="BY279" i="29"/>
  <c r="CA279" i="29" s="1"/>
  <c r="BE280" i="29"/>
  <c r="DC279" i="29"/>
  <c r="BO279" i="29"/>
  <c r="DK279" i="29"/>
  <c r="DE278" i="29"/>
  <c r="DF278" i="29"/>
  <c r="DG278" i="29"/>
  <c r="DO278" i="29"/>
  <c r="DN278" i="29"/>
  <c r="DM278" i="29"/>
  <c r="J395" i="28"/>
  <c r="CM278" i="29" l="1"/>
  <c r="CL278" i="29"/>
  <c r="CL279" i="29"/>
  <c r="CM279" i="29"/>
  <c r="DE279" i="29"/>
  <c r="DG279" i="29"/>
  <c r="DF279" i="29"/>
  <c r="DO279" i="29"/>
  <c r="CI280" i="29"/>
  <c r="BY280" i="29"/>
  <c r="CA280" i="29" s="1"/>
  <c r="DC280" i="29"/>
  <c r="DK280" i="29"/>
  <c r="CD280" i="29"/>
  <c r="CF280" i="29" s="1"/>
  <c r="BE281" i="29"/>
  <c r="BO280" i="29"/>
  <c r="BN280" i="29"/>
  <c r="CT280" i="29"/>
  <c r="BS280" i="29"/>
  <c r="CY280" i="29"/>
  <c r="CW280" i="29"/>
  <c r="BQ280" i="29"/>
  <c r="BB281" i="29"/>
  <c r="BM280" i="29"/>
  <c r="CS280" i="29"/>
  <c r="AV281" i="29"/>
  <c r="DN279" i="29"/>
  <c r="DM279" i="29"/>
  <c r="J396" i="28"/>
  <c r="CJ280" i="29" l="1"/>
  <c r="CM280" i="29" s="1"/>
  <c r="DN280" i="29"/>
  <c r="DM280" i="29"/>
  <c r="DF280" i="29"/>
  <c r="DO280" i="29"/>
  <c r="DG280" i="29"/>
  <c r="DE280" i="29"/>
  <c r="BN281" i="29"/>
  <c r="CY281" i="29"/>
  <c r="BS281" i="29"/>
  <c r="BB282" i="29"/>
  <c r="CT281" i="29"/>
  <c r="BQ281" i="29"/>
  <c r="CW281" i="29"/>
  <c r="CI281" i="29"/>
  <c r="DC281" i="29"/>
  <c r="DK281" i="29"/>
  <c r="BY281" i="29"/>
  <c r="CA281" i="29" s="1"/>
  <c r="BE282" i="29"/>
  <c r="BO281" i="29"/>
  <c r="CD281" i="29"/>
  <c r="CF281" i="29" s="1"/>
  <c r="CS281" i="29"/>
  <c r="BM281" i="29"/>
  <c r="AV282" i="29"/>
  <c r="J397" i="28"/>
  <c r="CL280" i="29" l="1"/>
  <c r="CK280" i="29"/>
  <c r="CJ281" i="29"/>
  <c r="CM281" i="29" s="1"/>
  <c r="AV283" i="29"/>
  <c r="CS282" i="29"/>
  <c r="BM282" i="29"/>
  <c r="DE281" i="29"/>
  <c r="DO281" i="29"/>
  <c r="DF281" i="29"/>
  <c r="DG281" i="29"/>
  <c r="BE283" i="29"/>
  <c r="BY282" i="29"/>
  <c r="CA282" i="29" s="1"/>
  <c r="CD282" i="29"/>
  <c r="CF282" i="29" s="1"/>
  <c r="DK282" i="29"/>
  <c r="DC282" i="29"/>
  <c r="BO282" i="29"/>
  <c r="CI282" i="29"/>
  <c r="BS282" i="29"/>
  <c r="CY282" i="29"/>
  <c r="BN282" i="29"/>
  <c r="CW282" i="29"/>
  <c r="BB283" i="29"/>
  <c r="CT282" i="29"/>
  <c r="BQ282" i="29"/>
  <c r="DM281" i="29"/>
  <c r="DN281" i="29"/>
  <c r="J398" i="28"/>
  <c r="CK281" i="29" l="1"/>
  <c r="CL281" i="29"/>
  <c r="CJ282" i="29"/>
  <c r="CK282" i="29" s="1"/>
  <c r="DE282" i="29"/>
  <c r="DG282" i="29"/>
  <c r="DF282" i="29"/>
  <c r="DO282" i="29"/>
  <c r="BN283" i="29"/>
  <c r="CW283" i="29"/>
  <c r="CT283" i="29"/>
  <c r="BS283" i="29"/>
  <c r="BQ283" i="29"/>
  <c r="BB284" i="29"/>
  <c r="CY283" i="29"/>
  <c r="DM282" i="29"/>
  <c r="DN282" i="29"/>
  <c r="BO283" i="29"/>
  <c r="CD283" i="29"/>
  <c r="CF283" i="29" s="1"/>
  <c r="DK283" i="29"/>
  <c r="DC283" i="29"/>
  <c r="BY283" i="29"/>
  <c r="CA283" i="29" s="1"/>
  <c r="BE284" i="29"/>
  <c r="CI283" i="29"/>
  <c r="BM283" i="29"/>
  <c r="AV284" i="29"/>
  <c r="CS283" i="29"/>
  <c r="J399" i="28"/>
  <c r="CL282" i="29" l="1"/>
  <c r="CM282" i="29"/>
  <c r="CJ283" i="29"/>
  <c r="CL283" i="29" s="1"/>
  <c r="DN283" i="29"/>
  <c r="DM283" i="29"/>
  <c r="DC284" i="29"/>
  <c r="CI284" i="29"/>
  <c r="DK284" i="29"/>
  <c r="BO284" i="29"/>
  <c r="BY284" i="29"/>
  <c r="CA284" i="29" s="1"/>
  <c r="BE285" i="29"/>
  <c r="CD284" i="29"/>
  <c r="CF284" i="29" s="1"/>
  <c r="BQ284" i="29"/>
  <c r="BN284" i="29"/>
  <c r="BB285" i="29"/>
  <c r="BS284" i="29"/>
  <c r="CW284" i="29"/>
  <c r="CT284" i="29"/>
  <c r="CY284" i="29"/>
  <c r="CS284" i="29"/>
  <c r="AV285" i="29"/>
  <c r="BM284" i="29"/>
  <c r="DG283" i="29"/>
  <c r="DO283" i="29"/>
  <c r="DE283" i="29"/>
  <c r="DF283" i="29"/>
  <c r="J400" i="28"/>
  <c r="CK283" i="29" l="1"/>
  <c r="CJ284" i="29"/>
  <c r="CM284" i="29" s="1"/>
  <c r="CM283" i="29"/>
  <c r="BE286" i="29"/>
  <c r="CD285" i="29"/>
  <c r="CF285" i="29" s="1"/>
  <c r="BO285" i="29"/>
  <c r="BY285" i="29"/>
  <c r="CA285" i="29" s="1"/>
  <c r="DC285" i="29"/>
  <c r="CI285" i="29"/>
  <c r="DK285" i="29"/>
  <c r="DM284" i="29"/>
  <c r="DN284" i="29"/>
  <c r="BN285" i="29"/>
  <c r="CY285" i="29"/>
  <c r="BS285" i="29"/>
  <c r="CW285" i="29"/>
  <c r="CT285" i="29"/>
  <c r="BB286" i="29"/>
  <c r="BQ285" i="29"/>
  <c r="DG284" i="29"/>
  <c r="DO284" i="29"/>
  <c r="DF284" i="29"/>
  <c r="DE284" i="29"/>
  <c r="CS285" i="29"/>
  <c r="AV286" i="29"/>
  <c r="BM285" i="29"/>
  <c r="J401" i="28"/>
  <c r="CL284" i="29" l="1"/>
  <c r="CJ285" i="29"/>
  <c r="CK285" i="29" s="1"/>
  <c r="CK284" i="29"/>
  <c r="BS286" i="29"/>
  <c r="CW286" i="29"/>
  <c r="BN286" i="29"/>
  <c r="CY286" i="29"/>
  <c r="BQ286" i="29"/>
  <c r="BB287" i="29"/>
  <c r="CT286" i="29"/>
  <c r="DM285" i="29"/>
  <c r="DN285" i="29"/>
  <c r="CS286" i="29"/>
  <c r="AV287" i="29"/>
  <c r="BM286" i="29"/>
  <c r="DF285" i="29"/>
  <c r="DG285" i="29"/>
  <c r="DO285" i="29"/>
  <c r="DE285" i="29"/>
  <c r="CI286" i="29"/>
  <c r="CD286" i="29"/>
  <c r="CF286" i="29" s="1"/>
  <c r="BY286" i="29"/>
  <c r="CA286" i="29" s="1"/>
  <c r="BO286" i="29"/>
  <c r="DC286" i="29"/>
  <c r="DK286" i="29"/>
  <c r="BE287" i="29"/>
  <c r="J402" i="28"/>
  <c r="CM285" i="29" l="1"/>
  <c r="CL285" i="29"/>
  <c r="CJ286" i="29"/>
  <c r="CM286" i="29" s="1"/>
  <c r="BE288" i="29"/>
  <c r="BY287" i="29"/>
  <c r="CA287" i="29" s="1"/>
  <c r="CI287" i="29"/>
  <c r="CJ287" i="29" s="1"/>
  <c r="CK287" i="29" s="1"/>
  <c r="DK287" i="29"/>
  <c r="BO287" i="29"/>
  <c r="CD287" i="29"/>
  <c r="CF287" i="29" s="1"/>
  <c r="DC287" i="29"/>
  <c r="DO286" i="29"/>
  <c r="DF286" i="29"/>
  <c r="DE286" i="29"/>
  <c r="DG286" i="29"/>
  <c r="BN287" i="29"/>
  <c r="BB288" i="29"/>
  <c r="BQ287" i="29"/>
  <c r="BS287" i="29"/>
  <c r="CT287" i="29"/>
  <c r="CY287" i="29"/>
  <c r="CW287" i="29"/>
  <c r="CS287" i="29"/>
  <c r="AV288" i="29"/>
  <c r="BM287" i="29"/>
  <c r="DM286" i="29"/>
  <c r="DN286" i="29"/>
  <c r="J403" i="28"/>
  <c r="CL287" i="29" l="1"/>
  <c r="CL286" i="29"/>
  <c r="CM287" i="29"/>
  <c r="CK286" i="29"/>
  <c r="DE287" i="29"/>
  <c r="DO287" i="29"/>
  <c r="DF287" i="29"/>
  <c r="DG287" i="29"/>
  <c r="BM288" i="29"/>
  <c r="AV289" i="29"/>
  <c r="CS288" i="29"/>
  <c r="BN288" i="29"/>
  <c r="BB289" i="29"/>
  <c r="CW288" i="29"/>
  <c r="CT288" i="29"/>
  <c r="BS288" i="29"/>
  <c r="CY288" i="29"/>
  <c r="BQ288" i="29"/>
  <c r="DM287" i="29"/>
  <c r="DN287" i="29"/>
  <c r="BY288" i="29"/>
  <c r="CA288" i="29" s="1"/>
  <c r="DK288" i="29"/>
  <c r="BE289" i="29"/>
  <c r="DC288" i="29"/>
  <c r="CI288" i="29"/>
  <c r="CD288" i="29"/>
  <c r="CF288" i="29" s="1"/>
  <c r="BO288" i="29"/>
  <c r="J404" i="28"/>
  <c r="CJ288" i="29" l="1"/>
  <c r="CK288" i="29" s="1"/>
  <c r="BM289" i="29"/>
  <c r="CS289" i="29"/>
  <c r="AV290" i="29"/>
  <c r="DE288" i="29"/>
  <c r="DF288" i="29"/>
  <c r="DG288" i="29"/>
  <c r="DO288" i="29"/>
  <c r="DC289" i="29"/>
  <c r="DK289" i="29"/>
  <c r="CI289" i="29"/>
  <c r="BE290" i="29"/>
  <c r="BY289" i="29"/>
  <c r="CA289" i="29" s="1"/>
  <c r="BO289" i="29"/>
  <c r="CD289" i="29"/>
  <c r="CF289" i="29" s="1"/>
  <c r="DM288" i="29"/>
  <c r="DN288" i="29"/>
  <c r="BS289" i="29"/>
  <c r="BB290" i="29"/>
  <c r="BN289" i="29"/>
  <c r="CW289" i="29"/>
  <c r="CY289" i="29"/>
  <c r="CT289" i="29"/>
  <c r="BQ289" i="29"/>
  <c r="J405" i="28"/>
  <c r="CL288" i="29" l="1"/>
  <c r="CM288" i="29"/>
  <c r="CJ289" i="29"/>
  <c r="CM289" i="29" s="1"/>
  <c r="BY290" i="29"/>
  <c r="CA290" i="29" s="1"/>
  <c r="CD290" i="29"/>
  <c r="CF290" i="29" s="1"/>
  <c r="BO290" i="29"/>
  <c r="DK290" i="29"/>
  <c r="CI290" i="29"/>
  <c r="DC290" i="29"/>
  <c r="BE291" i="29"/>
  <c r="CS290" i="29"/>
  <c r="AV291" i="29"/>
  <c r="BM290" i="29"/>
  <c r="BN290" i="29"/>
  <c r="CW290" i="29"/>
  <c r="BS290" i="29"/>
  <c r="CT290" i="29"/>
  <c r="CY290" i="29"/>
  <c r="BQ290" i="29"/>
  <c r="BB291" i="29"/>
  <c r="DM289" i="29"/>
  <c r="DN289" i="29"/>
  <c r="DG289" i="29"/>
  <c r="DE289" i="29"/>
  <c r="DO289" i="29"/>
  <c r="DF289" i="29"/>
  <c r="J406" i="28"/>
  <c r="J407" i="28" s="1"/>
  <c r="J408" i="28" s="1"/>
  <c r="J409" i="28" s="1"/>
  <c r="J410" i="28" s="1"/>
  <c r="J411" i="28" s="1"/>
  <c r="J412" i="28" s="1"/>
  <c r="J413" i="28" s="1"/>
  <c r="J414" i="28" s="1"/>
  <c r="J415" i="28" s="1"/>
  <c r="J416" i="28" s="1"/>
  <c r="J417" i="28" s="1"/>
  <c r="J418" i="28" s="1"/>
  <c r="J419" i="28" s="1"/>
  <c r="J420" i="28" s="1"/>
  <c r="J421" i="28" s="1"/>
  <c r="J422" i="28" s="1"/>
  <c r="J423" i="28" s="1"/>
  <c r="J424" i="28" s="1"/>
  <c r="J425" i="28" s="1"/>
  <c r="J426" i="28" s="1"/>
  <c r="J427" i="28" s="1"/>
  <c r="J428" i="28" s="1"/>
  <c r="J429" i="28" s="1"/>
  <c r="J430" i="28" s="1"/>
  <c r="J431" i="28" s="1"/>
  <c r="J432" i="28" s="1"/>
  <c r="J433" i="28" s="1"/>
  <c r="J434" i="28" s="1"/>
  <c r="J435" i="28" s="1"/>
  <c r="J436" i="28" s="1"/>
  <c r="J437" i="28" s="1"/>
  <c r="J438" i="28" s="1"/>
  <c r="J439" i="28" s="1"/>
  <c r="J440" i="28" s="1"/>
  <c r="J441" i="28" s="1"/>
  <c r="J442" i="28" s="1"/>
  <c r="J443" i="28" s="1"/>
  <c r="J444" i="28" s="1"/>
  <c r="J445" i="28" s="1"/>
  <c r="J446" i="28" s="1"/>
  <c r="J447" i="28" s="1"/>
  <c r="CK289" i="29" l="1"/>
  <c r="CL289" i="29"/>
  <c r="CJ290" i="29"/>
  <c r="CM290" i="29" s="1"/>
  <c r="BY291" i="29"/>
  <c r="CA291" i="29" s="1"/>
  <c r="DK291" i="29"/>
  <c r="CI291" i="29"/>
  <c r="CJ291" i="29" s="1"/>
  <c r="CK291" i="29" s="1"/>
  <c r="BE292" i="29"/>
  <c r="DC291" i="29"/>
  <c r="BO291" i="29"/>
  <c r="CD291" i="29"/>
  <c r="CF291" i="29" s="1"/>
  <c r="DO290" i="29"/>
  <c r="DG290" i="29"/>
  <c r="DE290" i="29"/>
  <c r="DF290" i="29"/>
  <c r="DM290" i="29"/>
  <c r="DN290" i="29"/>
  <c r="BS291" i="29"/>
  <c r="CY291" i="29"/>
  <c r="BN291" i="29"/>
  <c r="BQ291" i="29"/>
  <c r="CT291" i="29"/>
  <c r="CW291" i="29"/>
  <c r="BB292" i="29"/>
  <c r="BM291" i="29"/>
  <c r="AV292" i="29"/>
  <c r="CS291" i="29"/>
  <c r="J448" i="28"/>
  <c r="CL290" i="29" l="1"/>
  <c r="CK290" i="29"/>
  <c r="CM291" i="29"/>
  <c r="CL291" i="29"/>
  <c r="BM292" i="29"/>
  <c r="AV293" i="29"/>
  <c r="CS292" i="29"/>
  <c r="CY292" i="29"/>
  <c r="CW292" i="29"/>
  <c r="BS292" i="29"/>
  <c r="BN292" i="29"/>
  <c r="BQ292" i="29"/>
  <c r="BB293" i="29"/>
  <c r="CT292" i="29"/>
  <c r="DO291" i="29"/>
  <c r="DG291" i="29"/>
  <c r="DE291" i="29"/>
  <c r="DF291" i="29"/>
  <c r="CI292" i="29"/>
  <c r="DC292" i="29"/>
  <c r="BO292" i="29"/>
  <c r="CD292" i="29"/>
  <c r="CF292" i="29" s="1"/>
  <c r="BE293" i="29"/>
  <c r="DK292" i="29"/>
  <c r="BY292" i="29"/>
  <c r="CA292" i="29" s="1"/>
  <c r="DN291" i="29"/>
  <c r="DM291" i="29"/>
  <c r="J449" i="28"/>
  <c r="CJ292" i="29" l="1"/>
  <c r="CM292" i="29" s="1"/>
  <c r="DG292" i="29"/>
  <c r="DE292" i="29"/>
  <c r="DF292" i="29"/>
  <c r="DO292" i="29"/>
  <c r="BO293" i="29"/>
  <c r="DC293" i="29"/>
  <c r="CD293" i="29"/>
  <c r="CF293" i="29" s="1"/>
  <c r="BY293" i="29"/>
  <c r="CA293" i="29" s="1"/>
  <c r="DK293" i="29"/>
  <c r="CI293" i="29"/>
  <c r="CJ293" i="29" s="1"/>
  <c r="CL293" i="29" s="1"/>
  <c r="BE294" i="29"/>
  <c r="DN292" i="29"/>
  <c r="DM292" i="29"/>
  <c r="CS293" i="29"/>
  <c r="AV294" i="29"/>
  <c r="BM293" i="29"/>
  <c r="BN293" i="29"/>
  <c r="CW293" i="29"/>
  <c r="BQ293" i="29"/>
  <c r="BS293" i="29"/>
  <c r="BB294" i="29"/>
  <c r="CT293" i="29"/>
  <c r="CY293" i="29"/>
  <c r="J450" i="28"/>
  <c r="CL292" i="29" l="1"/>
  <c r="CK292" i="29"/>
  <c r="CM293" i="29"/>
  <c r="CK293" i="29"/>
  <c r="DO293" i="29"/>
  <c r="DG293" i="29"/>
  <c r="DF293" i="29"/>
  <c r="DE293" i="29"/>
  <c r="BN294" i="29"/>
  <c r="BQ294" i="29"/>
  <c r="CT294" i="29"/>
  <c r="BS294" i="29"/>
  <c r="CY294" i="29"/>
  <c r="BB295" i="29"/>
  <c r="C15" i="15" s="1"/>
  <c r="CW294" i="29"/>
  <c r="BY294" i="29"/>
  <c r="CA294" i="29" s="1"/>
  <c r="CA295" i="29" s="1"/>
  <c r="CA298" i="29" s="1"/>
  <c r="I378" i="29" s="1"/>
  <c r="DC294" i="29"/>
  <c r="BE295" i="29"/>
  <c r="C16" i="15" s="1"/>
  <c r="CI294" i="29"/>
  <c r="BO294" i="29"/>
  <c r="CD294" i="29"/>
  <c r="CF294" i="29" s="1"/>
  <c r="CF295" i="29" s="1"/>
  <c r="CF298" i="29" s="1"/>
  <c r="DK294" i="29"/>
  <c r="DN293" i="29"/>
  <c r="DM293" i="29"/>
  <c r="BM294" i="29"/>
  <c r="CS294" i="29"/>
  <c r="AV295" i="29"/>
  <c r="C14" i="15" s="1"/>
  <c r="J451" i="28"/>
  <c r="N35" i="18" l="1"/>
  <c r="O35" i="18" s="1"/>
  <c r="CI295" i="29"/>
  <c r="CI298" i="29" s="1"/>
  <c r="CJ294" i="29"/>
  <c r="CJ295" i="29" s="1"/>
  <c r="DE294" i="29"/>
  <c r="DE295" i="29" s="1"/>
  <c r="DF294" i="29"/>
  <c r="DF295" i="29" s="1"/>
  <c r="DG294" i="29"/>
  <c r="DG295" i="29" s="1"/>
  <c r="DO294" i="29"/>
  <c r="DO295" i="29" s="1"/>
  <c r="DN294" i="29"/>
  <c r="DN295" i="29" s="1"/>
  <c r="DM294" i="29"/>
  <c r="DM295" i="29" s="1"/>
  <c r="J452" i="28"/>
  <c r="J155" i="29" l="1"/>
  <c r="H152" i="29"/>
  <c r="H380" i="29"/>
  <c r="I380" i="29" s="1"/>
  <c r="N37" i="18" s="1"/>
  <c r="O37" i="18" s="1"/>
  <c r="M379" i="29"/>
  <c r="CL294" i="29"/>
  <c r="CL295" i="29" s="1"/>
  <c r="CK294" i="29"/>
  <c r="CK295" i="29" s="1"/>
  <c r="CM294" i="29"/>
  <c r="CM295" i="29" s="1"/>
  <c r="J453" i="28"/>
  <c r="Z18" i="9" l="1"/>
  <c r="Z20" i="9" s="1"/>
  <c r="A165" i="29"/>
  <c r="A157" i="29"/>
  <c r="A164" i="29"/>
  <c r="A162" i="29"/>
  <c r="J454" i="28"/>
  <c r="Z19" i="9" l="1"/>
  <c r="H375" i="29" s="1"/>
  <c r="I375" i="29" s="1"/>
  <c r="N32" i="18" s="1"/>
  <c r="O32" i="18" s="1"/>
  <c r="I9" i="18" s="1"/>
  <c r="A187" i="29"/>
  <c r="F185" i="29"/>
  <c r="A186" i="29"/>
  <c r="A183" i="29"/>
  <c r="A184" i="29"/>
  <c r="A180" i="29"/>
  <c r="F182" i="29"/>
  <c r="A188" i="29"/>
  <c r="F180" i="29"/>
  <c r="A166" i="29"/>
  <c r="F165" i="29"/>
  <c r="F167" i="29" s="1"/>
  <c r="A161" i="29"/>
  <c r="A167" i="29"/>
  <c r="F158" i="29"/>
  <c r="A158" i="29"/>
  <c r="A175" i="29"/>
  <c r="A172" i="29"/>
  <c r="A177" i="29"/>
  <c r="A169" i="29"/>
  <c r="F169" i="29"/>
  <c r="F160" i="29"/>
  <c r="A160" i="29"/>
  <c r="A159" i="29"/>
  <c r="F159" i="29"/>
  <c r="F163" i="29"/>
  <c r="A163" i="29"/>
  <c r="J455" i="28"/>
  <c r="A181" i="29"/>
  <c r="F181" i="29"/>
  <c r="A185" i="29"/>
  <c r="I404" i="29" l="1"/>
  <c r="H432" i="29" s="1"/>
  <c r="I432" i="29" s="1"/>
  <c r="P404" i="29"/>
  <c r="H412" i="29" s="1"/>
  <c r="I412" i="29" s="1"/>
  <c r="N69" i="18" s="1"/>
  <c r="O69" i="18" s="1"/>
  <c r="J375" i="29"/>
  <c r="J376" i="29" s="1"/>
  <c r="J377" i="29" s="1"/>
  <c r="J378" i="29" s="1"/>
  <c r="J379" i="29" s="1"/>
  <c r="J380" i="29" s="1"/>
  <c r="J381" i="29" s="1"/>
  <c r="J382" i="29" s="1"/>
  <c r="J383" i="29" s="1"/>
  <c r="J384" i="29" s="1"/>
  <c r="J385" i="29" s="1"/>
  <c r="J386" i="29" s="1"/>
  <c r="J387" i="29" s="1"/>
  <c r="J388" i="29" s="1"/>
  <c r="J389" i="29" s="1"/>
  <c r="J390" i="29" s="1"/>
  <c r="J391" i="29" s="1"/>
  <c r="J392" i="29" s="1"/>
  <c r="J393" i="29" s="1"/>
  <c r="J394" i="29" s="1"/>
  <c r="J395" i="29" s="1"/>
  <c r="J396" i="29" s="1"/>
  <c r="J397" i="29" s="1"/>
  <c r="J398" i="29" s="1"/>
  <c r="J399" i="29" s="1"/>
  <c r="J400" i="29" s="1"/>
  <c r="J401" i="29" s="1"/>
  <c r="J402" i="29" s="1"/>
  <c r="J403" i="29" s="1"/>
  <c r="F184" i="29"/>
  <c r="F187" i="29"/>
  <c r="F189" i="29" s="1"/>
  <c r="A189" i="29"/>
  <c r="F162" i="29"/>
  <c r="A182" i="29"/>
  <c r="F170" i="29"/>
  <c r="F173" i="29" s="1"/>
  <c r="A170" i="29"/>
  <c r="A176" i="29"/>
  <c r="F176" i="29"/>
  <c r="F178" i="29" s="1"/>
  <c r="A171" i="29"/>
  <c r="F171" i="29"/>
  <c r="A174" i="29"/>
  <c r="F174" i="29"/>
  <c r="N61" i="18"/>
  <c r="O61" i="18" s="1"/>
  <c r="A173" i="29"/>
  <c r="A178" i="29"/>
  <c r="F179" i="29"/>
  <c r="J456" i="28"/>
  <c r="J404" i="29" l="1"/>
  <c r="J405" i="29" s="1"/>
  <c r="J406" i="29" s="1"/>
  <c r="P408" i="29"/>
  <c r="P409" i="29"/>
  <c r="P411" i="29"/>
  <c r="P407" i="29"/>
  <c r="H408" i="29"/>
  <c r="I408" i="29" s="1"/>
  <c r="N65" i="18" s="1"/>
  <c r="O65" i="18" s="1"/>
  <c r="H411" i="29"/>
  <c r="I411" i="29" s="1"/>
  <c r="N68" i="18" s="1"/>
  <c r="O68" i="18" s="1"/>
  <c r="P413" i="29"/>
  <c r="H409" i="29"/>
  <c r="I409" i="29" s="1"/>
  <c r="N66" i="18" s="1"/>
  <c r="O66" i="18" s="1"/>
  <c r="P412" i="29"/>
  <c r="H407" i="29"/>
  <c r="I407" i="29" s="1"/>
  <c r="M435" i="29"/>
  <c r="N89" i="18"/>
  <c r="J457" i="28"/>
  <c r="P96" i="28" s="1"/>
  <c r="P427" i="29" l="1"/>
  <c r="P428" i="29" s="1"/>
  <c r="I428" i="29"/>
  <c r="N85" i="18" s="1"/>
  <c r="O85" i="18" s="1"/>
  <c r="J407" i="29"/>
  <c r="J408" i="29" s="1"/>
  <c r="J409" i="29" s="1"/>
  <c r="J410" i="29" s="1"/>
  <c r="J411" i="29" s="1"/>
  <c r="N64" i="18"/>
  <c r="O64" i="18" s="1"/>
  <c r="I11" i="18" s="1"/>
  <c r="I13" i="18" s="1"/>
  <c r="A98" i="28"/>
  <c r="A94" i="28"/>
  <c r="O89" i="18"/>
  <c r="I14" i="18" s="1"/>
  <c r="U89" i="18"/>
  <c r="I20" i="18" s="1"/>
  <c r="I21" i="18" s="1"/>
  <c r="A91" i="28"/>
  <c r="P93" i="28"/>
  <c r="H92" i="28"/>
  <c r="P64" i="28"/>
  <c r="J64" i="28"/>
  <c r="H64" i="28"/>
  <c r="A64" i="28"/>
  <c r="I64" i="28"/>
  <c r="H65" i="28"/>
  <c r="J65" i="28"/>
  <c r="I65" i="28"/>
  <c r="P65" i="28"/>
  <c r="A65" i="28"/>
  <c r="P66" i="28"/>
  <c r="A67" i="28"/>
  <c r="A66" i="28"/>
  <c r="J66" i="28"/>
  <c r="P67" i="28"/>
  <c r="H66" i="28"/>
  <c r="I66" i="28"/>
  <c r="P73" i="28"/>
  <c r="H70" i="28"/>
  <c r="H68" i="28"/>
  <c r="I68" i="28"/>
  <c r="A68" i="28"/>
  <c r="I75" i="28"/>
  <c r="A69" i="28"/>
  <c r="J77" i="28"/>
  <c r="I67" i="28"/>
  <c r="H72" i="28"/>
  <c r="H67" i="28"/>
  <c r="J67" i="28"/>
  <c r="P78" i="28"/>
  <c r="J68" i="28"/>
  <c r="P69" i="28"/>
  <c r="J76" i="28"/>
  <c r="I72" i="28"/>
  <c r="I73" i="28"/>
  <c r="I69" i="28"/>
  <c r="A78" i="28"/>
  <c r="H69" i="28"/>
  <c r="P80" i="28"/>
  <c r="J69" i="28"/>
  <c r="P76" i="28"/>
  <c r="I81" i="28"/>
  <c r="P70" i="28"/>
  <c r="A70" i="28"/>
  <c r="J75" i="28"/>
  <c r="H77" i="28"/>
  <c r="P68" i="28"/>
  <c r="I70" i="28"/>
  <c r="H89" i="28"/>
  <c r="I90" i="28"/>
  <c r="H78" i="28"/>
  <c r="I71" i="28"/>
  <c r="H87" i="28"/>
  <c r="P72" i="28"/>
  <c r="P71" i="28"/>
  <c r="H76" i="28"/>
  <c r="I77" i="28"/>
  <c r="P86" i="28"/>
  <c r="A81" i="28"/>
  <c r="H74" i="28"/>
  <c r="H81" i="28"/>
  <c r="I86" i="28"/>
  <c r="H86" i="28"/>
  <c r="A79" i="28"/>
  <c r="J70" i="28"/>
  <c r="P85" i="28"/>
  <c r="H82" i="28"/>
  <c r="I82" i="28"/>
  <c r="J73" i="28"/>
  <c r="I74" i="28"/>
  <c r="A74" i="28"/>
  <c r="A88" i="28"/>
  <c r="A72" i="28"/>
  <c r="I78" i="28"/>
  <c r="A77" i="28"/>
  <c r="P74" i="28"/>
  <c r="I87" i="28"/>
  <c r="I83" i="28"/>
  <c r="I80" i="28"/>
  <c r="H90" i="28"/>
  <c r="I79" i="28"/>
  <c r="I88" i="28"/>
  <c r="P88" i="28"/>
  <c r="H75" i="28"/>
  <c r="H83" i="28"/>
  <c r="H79" i="28"/>
  <c r="P82" i="28"/>
  <c r="I84" i="28"/>
  <c r="A89" i="28"/>
  <c r="J81" i="28"/>
  <c r="A87" i="28"/>
  <c r="A76" i="28"/>
  <c r="A82" i="28"/>
  <c r="J83" i="28"/>
  <c r="J90" i="28"/>
  <c r="A84" i="28"/>
  <c r="P84" i="28"/>
  <c r="J89" i="28"/>
  <c r="J74" i="28"/>
  <c r="J82" i="28"/>
  <c r="J80" i="28"/>
  <c r="A90" i="28"/>
  <c r="J71" i="28"/>
  <c r="A83" i="28"/>
  <c r="P83" i="28"/>
  <c r="P75" i="28"/>
  <c r="J78" i="28"/>
  <c r="H88" i="28"/>
  <c r="A86" i="28"/>
  <c r="I89" i="28"/>
  <c r="P87" i="28"/>
  <c r="A73" i="28"/>
  <c r="J79" i="28"/>
  <c r="P77" i="28"/>
  <c r="A71" i="28"/>
  <c r="H84" i="28"/>
  <c r="P90" i="28"/>
  <c r="A80" i="28"/>
  <c r="J86" i="28"/>
  <c r="J88" i="28"/>
  <c r="P89" i="28"/>
  <c r="I85" i="28"/>
  <c r="P79" i="28"/>
  <c r="J84" i="28"/>
  <c r="A85" i="28"/>
  <c r="H85" i="28"/>
  <c r="A75" i="28"/>
  <c r="H71" i="28"/>
  <c r="P81" i="28"/>
  <c r="I76" i="28"/>
  <c r="H80" i="28"/>
  <c r="J72" i="28"/>
  <c r="J87" i="28"/>
  <c r="H73" i="28"/>
  <c r="J85" i="28"/>
  <c r="I91" i="28"/>
  <c r="P91" i="28"/>
  <c r="J91" i="28"/>
  <c r="H91" i="28"/>
  <c r="J92" i="28"/>
  <c r="A92" i="28"/>
  <c r="I92" i="28"/>
  <c r="P92" i="28"/>
  <c r="I93" i="28"/>
  <c r="A93" i="28"/>
  <c r="H93" i="28"/>
  <c r="J93" i="28"/>
  <c r="I94" i="28"/>
  <c r="J94" i="28"/>
  <c r="P94" i="28"/>
  <c r="H94" i="28"/>
  <c r="P95" i="28"/>
  <c r="H95" i="28"/>
  <c r="A95" i="28"/>
  <c r="J95" i="28"/>
  <c r="I96" i="28"/>
  <c r="A96" i="28"/>
  <c r="J96" i="28"/>
  <c r="H96" i="28"/>
  <c r="A97" i="28"/>
  <c r="H97" i="28"/>
  <c r="I97" i="28"/>
  <c r="P97" i="28"/>
  <c r="J98" i="28"/>
  <c r="P98" i="28"/>
  <c r="I98" i="28"/>
  <c r="H98" i="28"/>
  <c r="H99" i="28"/>
  <c r="P137" i="28"/>
  <c r="A142" i="28"/>
  <c r="A136" i="28"/>
  <c r="J112" i="28"/>
  <c r="I120" i="28"/>
  <c r="I134" i="28"/>
  <c r="I101" i="28"/>
  <c r="H140" i="28"/>
  <c r="J129" i="28"/>
  <c r="I99" i="28"/>
  <c r="P108" i="28"/>
  <c r="I113" i="28"/>
  <c r="P110" i="28"/>
  <c r="H120" i="28"/>
  <c r="P122" i="28"/>
  <c r="J131" i="28"/>
  <c r="A139" i="28"/>
  <c r="A125" i="28"/>
  <c r="P114" i="28"/>
  <c r="J132" i="28"/>
  <c r="P111" i="28"/>
  <c r="A143" i="28"/>
  <c r="P115" i="28"/>
  <c r="H130" i="28"/>
  <c r="J117" i="28"/>
  <c r="J116" i="28"/>
  <c r="H103" i="28"/>
  <c r="A120" i="28"/>
  <c r="A141" i="28"/>
  <c r="J140" i="28"/>
  <c r="I118" i="28"/>
  <c r="I143" i="28"/>
  <c r="J122" i="28"/>
  <c r="J134" i="28"/>
  <c r="H127" i="28"/>
  <c r="H101" i="28"/>
  <c r="J108" i="28"/>
  <c r="A104" i="28"/>
  <c r="J128" i="28"/>
  <c r="A134" i="28"/>
  <c r="H106" i="28"/>
  <c r="A109" i="28"/>
  <c r="A117" i="28"/>
  <c r="P126" i="28"/>
  <c r="I136" i="28"/>
  <c r="P138" i="28"/>
  <c r="I138" i="28"/>
  <c r="H131" i="28"/>
  <c r="I130" i="28"/>
  <c r="H136" i="28"/>
  <c r="P103" i="28"/>
  <c r="I126" i="28"/>
  <c r="J107" i="28"/>
  <c r="H111" i="28"/>
  <c r="H114" i="28"/>
  <c r="H118" i="28"/>
  <c r="A116" i="28"/>
  <c r="H108" i="28"/>
  <c r="J123" i="28"/>
  <c r="J109" i="28"/>
  <c r="I137" i="28"/>
  <c r="J133" i="28"/>
  <c r="P116" i="28"/>
  <c r="H116" i="28"/>
  <c r="I135" i="28"/>
  <c r="A119" i="28"/>
  <c r="H104" i="28"/>
  <c r="P144" i="28"/>
  <c r="A122" i="28"/>
  <c r="I103" i="28"/>
  <c r="P101" i="28"/>
  <c r="I112" i="28"/>
  <c r="J125" i="28"/>
  <c r="J121" i="28"/>
  <c r="J126" i="28"/>
  <c r="A128" i="28"/>
  <c r="I123" i="28"/>
  <c r="H126" i="28"/>
  <c r="I111" i="28"/>
  <c r="P105" i="28"/>
  <c r="P125" i="28"/>
  <c r="J144" i="28"/>
  <c r="H138" i="28"/>
  <c r="A108" i="28"/>
  <c r="I139" i="28"/>
  <c r="J142" i="28"/>
  <c r="A121" i="28"/>
  <c r="H141" i="28"/>
  <c r="H128" i="28"/>
  <c r="J114" i="28"/>
  <c r="P104" i="28"/>
  <c r="P136" i="28"/>
  <c r="J103" i="28"/>
  <c r="J106" i="28"/>
  <c r="A127" i="28"/>
  <c r="A115" i="28"/>
  <c r="I125" i="28"/>
  <c r="H113" i="28"/>
  <c r="P133" i="28"/>
  <c r="I128" i="28"/>
  <c r="J102" i="28"/>
  <c r="A138" i="28"/>
  <c r="H115" i="28"/>
  <c r="J120" i="28"/>
  <c r="A113" i="28"/>
  <c r="A114" i="28"/>
  <c r="I104" i="28"/>
  <c r="I122" i="28"/>
  <c r="J113" i="28"/>
  <c r="A123" i="28"/>
  <c r="P124" i="28"/>
  <c r="A118" i="28"/>
  <c r="H125" i="28"/>
  <c r="P117" i="28"/>
  <c r="P113" i="28"/>
  <c r="I108" i="28"/>
  <c r="I105" i="28"/>
  <c r="P109" i="28"/>
  <c r="I121" i="28"/>
  <c r="I106" i="28"/>
  <c r="A105" i="28"/>
  <c r="J115" i="28"/>
  <c r="I129" i="28"/>
  <c r="I110" i="28"/>
  <c r="A100" i="28"/>
  <c r="I142" i="28"/>
  <c r="J135" i="28"/>
  <c r="P130" i="28"/>
  <c r="H105" i="28"/>
  <c r="I102" i="28"/>
  <c r="P121" i="28"/>
  <c r="A144" i="28"/>
  <c r="I144" i="28"/>
  <c r="I114" i="28"/>
  <c r="I133" i="28"/>
  <c r="A112" i="28"/>
  <c r="J138" i="28"/>
  <c r="H144" i="28"/>
  <c r="J124" i="28"/>
  <c r="P142" i="28"/>
  <c r="P112" i="28"/>
  <c r="P106" i="28"/>
  <c r="I116" i="28"/>
  <c r="H112" i="28"/>
  <c r="H133" i="28"/>
  <c r="A137" i="28"/>
  <c r="P119" i="28"/>
  <c r="H123" i="28"/>
  <c r="P141" i="28"/>
  <c r="P143" i="28"/>
  <c r="J105" i="28"/>
  <c r="I140" i="28"/>
  <c r="A111" i="28"/>
  <c r="J139" i="28"/>
  <c r="P123" i="28"/>
  <c r="H142" i="28"/>
  <c r="A133" i="28"/>
  <c r="P134" i="28"/>
  <c r="I115" i="28"/>
  <c r="H143" i="28"/>
  <c r="P107" i="28"/>
  <c r="H137" i="28"/>
  <c r="A140" i="28"/>
  <c r="H119" i="28"/>
  <c r="A107" i="28"/>
  <c r="P129" i="28"/>
  <c r="H124" i="28"/>
  <c r="H109" i="28"/>
  <c r="P120" i="28"/>
  <c r="H117" i="28"/>
  <c r="A110" i="28"/>
  <c r="H122" i="28"/>
  <c r="I119" i="28"/>
  <c r="A101" i="28"/>
  <c r="J101" i="28"/>
  <c r="A135" i="28"/>
  <c r="J130" i="28"/>
  <c r="J118" i="28"/>
  <c r="P140" i="28"/>
  <c r="J104" i="28"/>
  <c r="I131" i="28"/>
  <c r="P102" i="28"/>
  <c r="P135" i="28"/>
  <c r="P131" i="28"/>
  <c r="P118" i="28"/>
  <c r="H134" i="28"/>
  <c r="A99" i="28"/>
  <c r="A106" i="28"/>
  <c r="H102" i="28"/>
  <c r="P132" i="28"/>
  <c r="A132" i="28"/>
  <c r="J141" i="28"/>
  <c r="J143" i="28"/>
  <c r="I107" i="28"/>
  <c r="P99" i="28"/>
  <c r="H110" i="28"/>
  <c r="A129" i="28"/>
  <c r="I132" i="28"/>
  <c r="J111" i="28"/>
  <c r="H132" i="28"/>
  <c r="I109" i="28"/>
  <c r="J137" i="28"/>
  <c r="I141" i="28"/>
  <c r="I124" i="28"/>
  <c r="H121" i="28"/>
  <c r="H139" i="28"/>
  <c r="P128" i="28"/>
  <c r="J99" i="28"/>
  <c r="J136" i="28"/>
  <c r="A102" i="28"/>
  <c r="J119" i="28"/>
  <c r="I117" i="28"/>
  <c r="A103" i="28"/>
  <c r="J110" i="28"/>
  <c r="H129" i="28"/>
  <c r="P127" i="28"/>
  <c r="A124" i="28"/>
  <c r="A131" i="28"/>
  <c r="H135" i="28"/>
  <c r="I127" i="28"/>
  <c r="H107" i="28"/>
  <c r="A126" i="28"/>
  <c r="P139" i="28"/>
  <c r="A130" i="28"/>
  <c r="J127" i="28"/>
  <c r="I100" i="28"/>
  <c r="P100" i="28"/>
  <c r="J100" i="28"/>
  <c r="H100" i="28"/>
  <c r="J97" i="28"/>
  <c r="I95" i="28"/>
  <c r="I430" i="29" l="1"/>
  <c r="F155" i="29" s="1"/>
  <c r="G155" i="29"/>
  <c r="J412" i="29"/>
  <c r="N87" i="18" l="1"/>
  <c r="O87" i="18" s="1"/>
  <c r="I447" i="29"/>
  <c r="N104" i="18" s="1"/>
  <c r="O104" i="18" s="1"/>
  <c r="J413" i="29"/>
  <c r="J414" i="29" l="1"/>
  <c r="J415" i="29" l="1"/>
  <c r="J416" i="29" l="1"/>
  <c r="J417" i="29" l="1"/>
  <c r="J418" i="29" l="1"/>
  <c r="J419" i="29" l="1"/>
  <c r="J420" i="29" l="1"/>
  <c r="J421" i="29" l="1"/>
  <c r="J422" i="29" l="1"/>
  <c r="J423" i="29" l="1"/>
  <c r="J424" i="29" l="1"/>
  <c r="J425" i="29" l="1"/>
  <c r="J426" i="29" l="1"/>
  <c r="J427" i="29" l="1"/>
  <c r="J428" i="29" l="1"/>
  <c r="J429" i="29" l="1"/>
  <c r="J430" i="29" l="1"/>
  <c r="J431" i="29" l="1"/>
  <c r="J432" i="29" s="1"/>
  <c r="J433" i="29" s="1"/>
  <c r="J434" i="29" s="1"/>
  <c r="J435" i="29" s="1"/>
  <c r="J436" i="29" s="1"/>
  <c r="J437" i="29" s="1"/>
  <c r="J438" i="29" s="1"/>
  <c r="J439" i="29" s="1"/>
  <c r="J440" i="29" s="1"/>
  <c r="J441" i="29" s="1"/>
  <c r="J442" i="29" s="1"/>
  <c r="J443" i="29" s="1"/>
  <c r="J444" i="29" s="1"/>
  <c r="J445" i="29" s="1"/>
  <c r="J446" i="29" s="1"/>
  <c r="J447" i="29" s="1"/>
  <c r="J448" i="29" l="1"/>
  <c r="J449" i="29" l="1"/>
  <c r="J450" i="29" l="1"/>
  <c r="J451" i="29" l="1"/>
  <c r="J452" i="29" l="1"/>
  <c r="J453" i="29" l="1"/>
  <c r="J454" i="29" l="1"/>
  <c r="J455" i="29" l="1"/>
  <c r="J456" i="29" l="1"/>
  <c r="J457" i="29" l="1"/>
  <c r="J83" i="29" s="1"/>
  <c r="P65" i="29" l="1"/>
  <c r="H64" i="29"/>
  <c r="P67" i="29"/>
  <c r="P64" i="29"/>
  <c r="I66" i="29"/>
  <c r="H65" i="29"/>
  <c r="I65" i="29"/>
  <c r="J67" i="29"/>
  <c r="A65" i="29"/>
  <c r="I67" i="29"/>
  <c r="H66" i="29"/>
  <c r="A66" i="29"/>
  <c r="J64" i="29"/>
  <c r="A64" i="29"/>
  <c r="H67" i="29"/>
  <c r="A67" i="29"/>
  <c r="P66" i="29"/>
  <c r="J66" i="29"/>
  <c r="J65" i="29"/>
  <c r="I64" i="29"/>
  <c r="I68" i="29"/>
  <c r="A68" i="29"/>
  <c r="P68" i="29"/>
  <c r="J68" i="29"/>
  <c r="H68" i="29"/>
  <c r="J70" i="29"/>
  <c r="H80" i="29"/>
  <c r="E61" i="29"/>
  <c r="P85" i="29"/>
  <c r="A81" i="29"/>
  <c r="A87" i="29"/>
  <c r="P69" i="29"/>
  <c r="A69" i="29"/>
  <c r="I69" i="29"/>
  <c r="J69" i="29"/>
  <c r="H69" i="29"/>
  <c r="A89" i="29"/>
  <c r="I70" i="29"/>
  <c r="A70" i="29"/>
  <c r="P74" i="29"/>
  <c r="H72" i="29"/>
  <c r="H76" i="29"/>
  <c r="H74" i="29"/>
  <c r="H77" i="29"/>
  <c r="P77" i="29"/>
  <c r="H71" i="29"/>
  <c r="I76" i="29"/>
  <c r="P76" i="29"/>
  <c r="I79" i="29"/>
  <c r="P79" i="29"/>
  <c r="I71" i="29"/>
  <c r="A74" i="29"/>
  <c r="A75" i="29"/>
  <c r="P72" i="29"/>
  <c r="H79" i="29"/>
  <c r="H78" i="29"/>
  <c r="I78" i="29"/>
  <c r="I74" i="29"/>
  <c r="J78" i="29"/>
  <c r="I75" i="29"/>
  <c r="A77" i="29"/>
  <c r="H75" i="29"/>
  <c r="P78" i="29"/>
  <c r="A71" i="29"/>
  <c r="P70" i="29"/>
  <c r="H70" i="29"/>
  <c r="J76" i="29"/>
  <c r="J77" i="29"/>
  <c r="J73" i="29"/>
  <c r="J75" i="29"/>
  <c r="J71" i="29"/>
  <c r="J74" i="29"/>
  <c r="J79" i="29"/>
  <c r="I73" i="29"/>
  <c r="A72" i="29"/>
  <c r="I72" i="29"/>
  <c r="J72" i="29"/>
  <c r="P75" i="29"/>
  <c r="A79" i="29"/>
  <c r="P73" i="29"/>
  <c r="P71" i="29"/>
  <c r="A76" i="29"/>
  <c r="A78" i="29"/>
  <c r="I77" i="29"/>
  <c r="A73" i="29"/>
  <c r="H73" i="29"/>
  <c r="I80" i="29"/>
  <c r="J80" i="29"/>
  <c r="P80" i="29"/>
  <c r="A80" i="29"/>
  <c r="I81" i="29"/>
  <c r="H81" i="29"/>
  <c r="P81" i="29"/>
  <c r="J81" i="29"/>
  <c r="H82" i="29"/>
  <c r="J82" i="29"/>
  <c r="P82" i="29"/>
  <c r="A82" i="29"/>
  <c r="I82" i="29"/>
  <c r="A83" i="29"/>
  <c r="H83" i="29"/>
  <c r="P83" i="29"/>
  <c r="I83" i="29"/>
  <c r="J84" i="29"/>
  <c r="P84" i="29"/>
  <c r="A84" i="29"/>
  <c r="I84" i="29"/>
  <c r="I85" i="29"/>
  <c r="J85" i="29"/>
  <c r="H85" i="29"/>
  <c r="A85" i="29"/>
  <c r="J86" i="29"/>
  <c r="H86" i="29"/>
  <c r="A86" i="29"/>
  <c r="P86" i="29"/>
  <c r="I86" i="29"/>
  <c r="J142" i="29"/>
  <c r="H119" i="29"/>
  <c r="J105" i="29"/>
  <c r="P117" i="29"/>
  <c r="I136" i="29"/>
  <c r="H115" i="29"/>
  <c r="I111" i="29"/>
  <c r="P127" i="29"/>
  <c r="I97" i="29"/>
  <c r="A115" i="29"/>
  <c r="P120" i="29"/>
  <c r="A104" i="29"/>
  <c r="P144" i="29"/>
  <c r="P133" i="29"/>
  <c r="H107" i="29"/>
  <c r="P98" i="29"/>
  <c r="P135" i="29"/>
  <c r="A143" i="29"/>
  <c r="I115" i="29"/>
  <c r="H105" i="29"/>
  <c r="A132" i="29"/>
  <c r="P118" i="29"/>
  <c r="P129" i="29"/>
  <c r="I125" i="29"/>
  <c r="P121" i="29"/>
  <c r="H117" i="29"/>
  <c r="P94" i="29"/>
  <c r="A94" i="29"/>
  <c r="J135" i="29"/>
  <c r="A122" i="29"/>
  <c r="I100" i="29"/>
  <c r="H109" i="29"/>
  <c r="P107" i="29"/>
  <c r="A118" i="29"/>
  <c r="I134" i="29"/>
  <c r="I119" i="29"/>
  <c r="A124" i="29"/>
  <c r="J134" i="29"/>
  <c r="I142" i="29"/>
  <c r="H127" i="29"/>
  <c r="I106" i="29"/>
  <c r="H133" i="29"/>
  <c r="J128" i="29"/>
  <c r="A117" i="29"/>
  <c r="A116" i="29"/>
  <c r="A95" i="29"/>
  <c r="H125" i="29"/>
  <c r="J132" i="29"/>
  <c r="H111" i="29"/>
  <c r="P119" i="29"/>
  <c r="P132" i="29"/>
  <c r="J101" i="29"/>
  <c r="H131" i="29"/>
  <c r="I104" i="29"/>
  <c r="I113" i="29"/>
  <c r="P114" i="29"/>
  <c r="P90" i="29"/>
  <c r="P116" i="29"/>
  <c r="A125" i="29"/>
  <c r="J104" i="29"/>
  <c r="H135" i="29"/>
  <c r="I96" i="29"/>
  <c r="H118" i="29"/>
  <c r="I122" i="29"/>
  <c r="H92" i="29"/>
  <c r="I93" i="29"/>
  <c r="H116" i="29"/>
  <c r="I133" i="29"/>
  <c r="A121" i="29"/>
  <c r="P115" i="29"/>
  <c r="A135" i="29"/>
  <c r="A101" i="29"/>
  <c r="A105" i="29"/>
  <c r="H143" i="29"/>
  <c r="J112" i="29"/>
  <c r="H129" i="29"/>
  <c r="J100" i="29"/>
  <c r="J141" i="29"/>
  <c r="A108" i="29"/>
  <c r="A144" i="29"/>
  <c r="I94" i="29"/>
  <c r="A138" i="29"/>
  <c r="I105" i="29"/>
  <c r="J133" i="29"/>
  <c r="J110" i="29"/>
  <c r="H93" i="29"/>
  <c r="P138" i="29"/>
  <c r="H112" i="29"/>
  <c r="P87" i="29"/>
  <c r="J99" i="29"/>
  <c r="A136" i="29"/>
  <c r="H110" i="29"/>
  <c r="H138" i="29"/>
  <c r="I126" i="29"/>
  <c r="H95" i="29"/>
  <c r="A110" i="29"/>
  <c r="P125" i="29"/>
  <c r="A127" i="29"/>
  <c r="H108" i="29"/>
  <c r="J118" i="29"/>
  <c r="H144" i="29"/>
  <c r="P122" i="29"/>
  <c r="P126" i="29"/>
  <c r="I102" i="29"/>
  <c r="J103" i="29"/>
  <c r="I108" i="29"/>
  <c r="A139" i="29"/>
  <c r="J122" i="29"/>
  <c r="P142" i="29"/>
  <c r="P141" i="29"/>
  <c r="P140" i="29"/>
  <c r="H140" i="29"/>
  <c r="J123" i="29"/>
  <c r="J131" i="29"/>
  <c r="J107" i="29"/>
  <c r="I95" i="29"/>
  <c r="H124" i="29"/>
  <c r="J90" i="29"/>
  <c r="A106" i="29"/>
  <c r="A142" i="29"/>
  <c r="I107" i="29"/>
  <c r="I109" i="29"/>
  <c r="P104" i="29"/>
  <c r="J95" i="29"/>
  <c r="A107" i="29"/>
  <c r="P110" i="29"/>
  <c r="I110" i="29"/>
  <c r="A109" i="29"/>
  <c r="J98" i="29"/>
  <c r="H134" i="29"/>
  <c r="I124" i="29"/>
  <c r="P130" i="29"/>
  <c r="A126" i="29"/>
  <c r="H142" i="29"/>
  <c r="I98" i="29"/>
  <c r="H136" i="29"/>
  <c r="J127" i="29"/>
  <c r="H130" i="29"/>
  <c r="J119" i="29"/>
  <c r="I120" i="29"/>
  <c r="I144" i="29"/>
  <c r="I116" i="29"/>
  <c r="J92" i="29"/>
  <c r="I90" i="29"/>
  <c r="A103" i="29"/>
  <c r="J140" i="29"/>
  <c r="J96" i="29"/>
  <c r="A114" i="29"/>
  <c r="I99" i="29"/>
  <c r="I138" i="29"/>
  <c r="H120" i="29"/>
  <c r="H141" i="29"/>
  <c r="J109" i="29"/>
  <c r="H122" i="29"/>
  <c r="A133" i="29"/>
  <c r="H104" i="29"/>
  <c r="H121" i="29"/>
  <c r="P106" i="29"/>
  <c r="J124" i="29"/>
  <c r="P105" i="29"/>
  <c r="P124" i="29"/>
  <c r="A96" i="29"/>
  <c r="I123" i="29"/>
  <c r="I130" i="29"/>
  <c r="A128" i="29"/>
  <c r="I141" i="29"/>
  <c r="P136" i="29"/>
  <c r="I139" i="29"/>
  <c r="P113" i="29"/>
  <c r="A141" i="29"/>
  <c r="H137" i="29"/>
  <c r="H128" i="29"/>
  <c r="J129" i="29"/>
  <c r="A123" i="29"/>
  <c r="A137" i="29"/>
  <c r="H99" i="29"/>
  <c r="J114" i="29"/>
  <c r="I132" i="29"/>
  <c r="A91" i="29"/>
  <c r="I135" i="29"/>
  <c r="P99" i="29"/>
  <c r="J144" i="29"/>
  <c r="A111" i="29"/>
  <c r="J121" i="29"/>
  <c r="P108" i="29"/>
  <c r="A98" i="29"/>
  <c r="J108" i="29"/>
  <c r="J87" i="29"/>
  <c r="J102" i="29"/>
  <c r="I127" i="29"/>
  <c r="I137" i="29"/>
  <c r="H101" i="29"/>
  <c r="P102" i="29"/>
  <c r="A102" i="29"/>
  <c r="A113" i="29"/>
  <c r="I112" i="29"/>
  <c r="H123" i="29"/>
  <c r="P101" i="29"/>
  <c r="I114" i="29"/>
  <c r="P109" i="29"/>
  <c r="P139" i="29"/>
  <c r="I117" i="29"/>
  <c r="J130" i="29"/>
  <c r="P123" i="29"/>
  <c r="J125" i="29"/>
  <c r="J111" i="29"/>
  <c r="P111" i="29"/>
  <c r="I129" i="29"/>
  <c r="A134" i="29"/>
  <c r="A100" i="29"/>
  <c r="P93" i="29"/>
  <c r="J120" i="29"/>
  <c r="I140" i="29"/>
  <c r="H139" i="29"/>
  <c r="J106" i="29"/>
  <c r="J143" i="29"/>
  <c r="J136" i="29"/>
  <c r="P137" i="29"/>
  <c r="H132" i="29"/>
  <c r="H97" i="29"/>
  <c r="H91" i="29"/>
  <c r="H113" i="29"/>
  <c r="H87" i="29"/>
  <c r="J93" i="29"/>
  <c r="J139" i="29"/>
  <c r="J113" i="29"/>
  <c r="A131" i="29"/>
  <c r="H94" i="29"/>
  <c r="P100" i="29"/>
  <c r="H90" i="29"/>
  <c r="P128" i="29"/>
  <c r="A99" i="29"/>
  <c r="P97" i="29"/>
  <c r="A119" i="29"/>
  <c r="I103" i="29"/>
  <c r="H96" i="29"/>
  <c r="H106" i="29"/>
  <c r="P91" i="29"/>
  <c r="P112" i="29"/>
  <c r="I128" i="29"/>
  <c r="I121" i="29"/>
  <c r="P96" i="29"/>
  <c r="A129" i="29"/>
  <c r="I87" i="29"/>
  <c r="A140" i="29"/>
  <c r="J97" i="29"/>
  <c r="J115" i="29"/>
  <c r="P143" i="29"/>
  <c r="I143" i="29"/>
  <c r="P92" i="29"/>
  <c r="A97" i="29"/>
  <c r="J116" i="29"/>
  <c r="H102" i="29"/>
  <c r="J138" i="29"/>
  <c r="P95" i="29"/>
  <c r="J137" i="29"/>
  <c r="J117" i="29"/>
  <c r="J126" i="29"/>
  <c r="I92" i="29"/>
  <c r="H114" i="29"/>
  <c r="H88" i="29"/>
  <c r="H126" i="29"/>
  <c r="J91" i="29"/>
  <c r="H89" i="29"/>
  <c r="H98" i="29"/>
  <c r="A120" i="29"/>
  <c r="I91" i="29"/>
  <c r="I89" i="29"/>
  <c r="I101" i="29"/>
  <c r="J88" i="29"/>
  <c r="H103" i="29"/>
  <c r="I131" i="29"/>
  <c r="A93" i="29"/>
  <c r="P89" i="29"/>
  <c r="A88" i="29"/>
  <c r="P131" i="29"/>
  <c r="A90" i="29"/>
  <c r="P103" i="29"/>
  <c r="A112" i="29"/>
  <c r="A130" i="29"/>
  <c r="J89" i="29"/>
  <c r="J94" i="29"/>
  <c r="P134" i="29"/>
  <c r="I118" i="29"/>
  <c r="H100" i="29"/>
  <c r="P88" i="29"/>
  <c r="A92" i="29"/>
  <c r="I88" i="29"/>
  <c r="H8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2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2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2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2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2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200-000006000000}">
      <text>
        <r>
          <rPr>
            <b/>
            <sz val="8"/>
            <color indexed="81"/>
            <rFont val="Tahoma"/>
            <family val="2"/>
          </rPr>
          <t>Fritz Tschopp:</t>
        </r>
        <r>
          <rPr>
            <sz val="8"/>
            <color indexed="81"/>
            <rFont val="Tahoma"/>
            <family val="2"/>
          </rPr>
          <t xml:space="preserve">
setzt Zähler auf Null bei Ende Ereignis)</t>
        </r>
      </text>
    </comment>
    <comment ref="G378" authorId="0" shapeId="0" xr:uid="{00000000-0006-0000-0200-000007000000}">
      <text>
        <r>
          <rPr>
            <b/>
            <sz val="8"/>
            <color indexed="81"/>
            <rFont val="Tahoma"/>
            <family val="2"/>
          </rPr>
          <t>Tschopp:</t>
        </r>
        <r>
          <rPr>
            <sz val="8"/>
            <color indexed="81"/>
            <rFont val="Tahoma"/>
            <family val="2"/>
          </rPr>
          <t xml:space="preserve">
gelöschte Formel anlässlich Umbau wegen Taggeld:
=(N_LohnartAuswahl=2)*I31-(N_Ferien_ArtAuszahlung_Auswahl=2)*SUMMEWENN(AE259:AE289;3;G259:G289)</t>
        </r>
      </text>
    </comment>
    <comment ref="I382" authorId="0" shapeId="0" xr:uid="{00000000-0006-0000-0200-000008000000}">
      <text>
        <r>
          <rPr>
            <b/>
            <sz val="8"/>
            <color indexed="81"/>
            <rFont val="Tahoma"/>
            <family val="2"/>
          </rPr>
          <t>Tschopp:</t>
        </r>
        <r>
          <rPr>
            <sz val="8"/>
            <color indexed="81"/>
            <rFont val="Tahoma"/>
            <family val="2"/>
          </rPr>
          <t xml:space="preserve">
gelb markiert = keine Sozialversicherungsabzüge</t>
        </r>
      </text>
    </comment>
    <comment ref="I395" authorId="0" shapeId="0" xr:uid="{00000000-0006-0000-0200-000009000000}">
      <text>
        <r>
          <rPr>
            <b/>
            <sz val="8"/>
            <color indexed="81"/>
            <rFont val="Tahoma"/>
            <family val="2"/>
          </rPr>
          <t>Tschopp:</t>
        </r>
        <r>
          <rPr>
            <sz val="8"/>
            <color indexed="81"/>
            <rFont val="Tahoma"/>
            <family val="2"/>
          </rPr>
          <t xml:space="preserve">
gelb markiert = keine Sozialversicherungsabzüge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B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B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B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B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B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B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C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C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C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C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C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C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D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D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D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D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D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D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Tschopp</author>
  </authors>
  <commentList>
    <comment ref="G43" authorId="0" shapeId="0" xr:uid="{00000000-0006-0000-1000-000001000000}">
      <text>
        <r>
          <rPr>
            <b/>
            <sz val="8"/>
            <color indexed="81"/>
            <rFont val="Tahoma"/>
            <family val="2"/>
          </rPr>
          <t>Tschopp:</t>
        </r>
        <r>
          <rPr>
            <sz val="8"/>
            <color indexed="81"/>
            <rFont val="Tahoma"/>
            <family val="2"/>
          </rPr>
          <t xml:space="preserve">
Quelle: www.bdo.ch/de/themen/bdo-newsletter-maerz-2011/lohnrueckverguetungen/?type=98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3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3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3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3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3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3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4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4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4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4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4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4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5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5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5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5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5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5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6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6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6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6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6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6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7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7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7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7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7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7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8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8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8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8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8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8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9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9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9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9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9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900-000006000000}">
      <text>
        <r>
          <rPr>
            <b/>
            <sz val="8"/>
            <color indexed="81"/>
            <rFont val="Tahoma"/>
            <family val="2"/>
          </rPr>
          <t>Fritz Tschopp:</t>
        </r>
        <r>
          <rPr>
            <sz val="8"/>
            <color indexed="81"/>
            <rFont val="Tahoma"/>
            <family val="2"/>
          </rPr>
          <t xml:space="preserve">
setzt Zähler auf Null bei Ende Ereignis)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Tschopp</author>
    <author>Fritz Tschopp</author>
  </authors>
  <commentList>
    <comment ref="S217" authorId="0" shapeId="0" xr:uid="{00000000-0006-0000-0A00-000001000000}">
      <text>
        <r>
          <rPr>
            <b/>
            <sz val="8"/>
            <color indexed="81"/>
            <rFont val="Tahoma"/>
            <family val="2"/>
          </rPr>
          <t>Tschopp:</t>
        </r>
        <r>
          <rPr>
            <sz val="8"/>
            <color indexed="81"/>
            <rFont val="Tahoma"/>
            <family val="2"/>
          </rPr>
          <t xml:space="preserve">
NBU unversichert, für Berechnungen</t>
        </r>
      </text>
    </comment>
    <comment ref="S227" authorId="0" shapeId="0" xr:uid="{00000000-0006-0000-0A00-000002000000}">
      <text>
        <r>
          <rPr>
            <b/>
            <sz val="8"/>
            <color indexed="81"/>
            <rFont val="Tahoma"/>
            <family val="2"/>
          </rPr>
          <t>Tschopp:</t>
        </r>
        <r>
          <rPr>
            <sz val="8"/>
            <color indexed="81"/>
            <rFont val="Tahoma"/>
            <family val="2"/>
          </rPr>
          <t xml:space="preserve">
NBU unversichert, für Berechnungen</t>
        </r>
      </text>
    </comment>
    <comment ref="S237" authorId="0" shapeId="0" xr:uid="{00000000-0006-0000-0A00-000003000000}">
      <text>
        <r>
          <rPr>
            <b/>
            <sz val="8"/>
            <color indexed="81"/>
            <rFont val="Tahoma"/>
            <family val="2"/>
          </rPr>
          <t>Tschopp:</t>
        </r>
        <r>
          <rPr>
            <sz val="8"/>
            <color indexed="81"/>
            <rFont val="Tahoma"/>
            <family val="2"/>
          </rPr>
          <t xml:space="preserve">
NBU unversichert, für Berechnungen</t>
        </r>
      </text>
    </comment>
    <comment ref="AN263" authorId="1" shapeId="0" xr:uid="{00000000-0006-0000-0A00-000004000000}">
      <text>
        <r>
          <rPr>
            <b/>
            <sz val="8"/>
            <color indexed="81"/>
            <rFont val="Tahoma"/>
            <family val="2"/>
          </rPr>
          <t>Fritz Tschopp:</t>
        </r>
        <r>
          <rPr>
            <sz val="8"/>
            <color indexed="81"/>
            <rFont val="Tahoma"/>
            <family val="2"/>
          </rPr>
          <t xml:space="preserve">
Hier wird Zahl 1 benötigt falls erster Tag im Monat nicht der Beginn der Kündigungsfrist ist</t>
        </r>
      </text>
    </comment>
    <comment ref="AT263" authorId="0" shapeId="0" xr:uid="{00000000-0006-0000-0A00-000005000000}">
      <text>
        <r>
          <rPr>
            <b/>
            <sz val="8"/>
            <color indexed="81"/>
            <rFont val="Tahoma"/>
            <family val="2"/>
          </rPr>
          <t>Tschopp:</t>
        </r>
        <r>
          <rPr>
            <sz val="8"/>
            <color indexed="81"/>
            <rFont val="Tahoma"/>
            <family val="2"/>
          </rPr>
          <t xml:space="preserve">
spezielle Formel wegen Korrektur Ferienguthaben!</t>
        </r>
      </text>
    </comment>
    <comment ref="AV264" authorId="1" shapeId="0" xr:uid="{00000000-0006-0000-0A00-000006000000}">
      <text>
        <r>
          <rPr>
            <b/>
            <sz val="8"/>
            <color indexed="81"/>
            <rFont val="Tahoma"/>
            <family val="2"/>
          </rPr>
          <t>Fritz Tschopp:</t>
        </r>
        <r>
          <rPr>
            <sz val="8"/>
            <color indexed="81"/>
            <rFont val="Tahoma"/>
            <family val="2"/>
          </rPr>
          <t xml:space="preserve">
setzt Zähler auf Null bei Ende Ereignis)</t>
        </r>
      </text>
    </comment>
  </commentList>
</comments>
</file>

<file path=xl/sharedStrings.xml><?xml version="1.0" encoding="utf-8"?>
<sst xmlns="http://schemas.openxmlformats.org/spreadsheetml/2006/main" count="4636" uniqueCount="1452">
  <si>
    <t>Monatlliche Abrechnung: Geben Sie hier die Informationen ein, um die Lohnabrechnung für diesen Monat zu erstellen</t>
  </si>
  <si>
    <t>Verrechnung Assistenzbeitrag: Hier finden Sie die Daten für den Übertrag ins ASTeK (bzw. für das Rechnungsformular Assistenzbeitrag, falls Sie das ASTeK nicht verwenden)</t>
  </si>
  <si>
    <t>Einsatzrapport: Wenn Sie einen Einsatzrapport führen wollen, können Sie hier die Arbeitszeit pro Tag erfassen</t>
  </si>
  <si>
    <t>Korrekturen: Wenn Sie Korrekturen zu einer früheren Lohnabrechnung machen müssen, können Sie diese hier eingeben</t>
  </si>
  <si>
    <t>Spesenbetrag</t>
  </si>
  <si>
    <t>Ferienbeginn</t>
  </si>
  <si>
    <t>Ferienende</t>
  </si>
  <si>
    <t>Abwesenheit Beginn</t>
  </si>
  <si>
    <t>Abwesenheit Ende</t>
  </si>
  <si>
    <t>Grund für Abwesenheit</t>
  </si>
  <si>
    <t>Ausgelöst durch früheres Ereignis?</t>
  </si>
  <si>
    <t>Arbeitsunfähigkeit, Ausmass</t>
  </si>
  <si>
    <t>Verhinderung, Beginn</t>
  </si>
  <si>
    <t>Verhinderung Ende</t>
  </si>
  <si>
    <t xml:space="preserve">Lohnfortzahlung für </t>
  </si>
  <si>
    <t>Grund der Arbeitsunfähigkeit</t>
  </si>
  <si>
    <t>Grund, falls andere</t>
  </si>
  <si>
    <t>Rückerstattung anderer Versicherungen</t>
  </si>
  <si>
    <t>Rückerstattung in CHF</t>
  </si>
  <si>
    <t>Die nächste Zeile enthält die Spaltenüberschriften</t>
  </si>
  <si>
    <t>Beschreibung</t>
  </si>
  <si>
    <t>LFP CHF (OR 324)</t>
  </si>
  <si>
    <t>Auf diesem Tabellenblatt wird  die Währungseinheit "Franken" mit der Abkürzung "CHF" bezeichnet</t>
  </si>
  <si>
    <t>Abzüge sind mit Minus-Zeichen einzugeben.</t>
  </si>
  <si>
    <t>Anzahl</t>
  </si>
  <si>
    <t>Ansatz / Basis</t>
  </si>
  <si>
    <t>Nachtpauschale</t>
  </si>
  <si>
    <t>Nachtpauschalen</t>
  </si>
  <si>
    <t>Ferienentschädigung</t>
  </si>
  <si>
    <t>Spesen</t>
  </si>
  <si>
    <t>Kinder / Ausbildungszulage</t>
  </si>
  <si>
    <t>NBU</t>
  </si>
  <si>
    <t>Familienzulage</t>
  </si>
  <si>
    <t>KTG</t>
  </si>
  <si>
    <t>Auswahl Ja/Nein</t>
  </si>
  <si>
    <t>Ferienentschädigung auf Korrekturen</t>
  </si>
  <si>
    <t>B</t>
  </si>
  <si>
    <t>BG</t>
  </si>
  <si>
    <t>Formatierung</t>
  </si>
  <si>
    <t>Stunden Standard</t>
  </si>
  <si>
    <t>Stunden Quali B</t>
  </si>
  <si>
    <t>Die Eingabefelder in diesem Abschnitt befinden sich in Spalte I</t>
  </si>
  <si>
    <t>Auswahl in Spalte G-I</t>
  </si>
  <si>
    <t>3. Verhinderung an der Arbeitsleistung</t>
  </si>
  <si>
    <t>geleistete Stunden mit Qualifikation B</t>
  </si>
  <si>
    <t>angerechnete Stunden mit Lohnfortzahlung</t>
  </si>
  <si>
    <t>angerechnete Stunden ohne Lohnfortzahlung</t>
  </si>
  <si>
    <t>Die Eingabefelder in diesem Abschnitt befinden sich in Spalte B für Stunden mit Standardqualifikation, Spalte C für Stunden mit Qualifikation B und Spalte D für Anzahl Nächte</t>
  </si>
  <si>
    <t>blau = Ferien, gelbbraun = 100% Arbeitsunfähigkeit, grau = ausserhalb Anstellungsdauer</t>
  </si>
  <si>
    <t>(zu wenig Arbeitsstunden geleistet)</t>
  </si>
  <si>
    <t>(zu viele Arbeitsstunden geleistet)</t>
  </si>
  <si>
    <t>Wert</t>
  </si>
  <si>
    <t>F=Fix auf Ausdruck</t>
  </si>
  <si>
    <t>Alle möglichen Zeilen für Lohnabrechnung; wird ausgeblendet</t>
  </si>
  <si>
    <t>F</t>
  </si>
  <si>
    <t>Zeilen total</t>
  </si>
  <si>
    <t>Zeile Ausdruck</t>
  </si>
  <si>
    <t>Lohnfortzahlung von</t>
  </si>
  <si>
    <t>Lohnfortzahlung bis</t>
  </si>
  <si>
    <t>Sozialversicherungsabgaben auf Lohnrückvergütungen</t>
  </si>
  <si>
    <t>Bezeichnung</t>
  </si>
  <si>
    <t>UVG-Taggeld</t>
  </si>
  <si>
    <t>Mutterschaftsentschädigung</t>
  </si>
  <si>
    <t>EO-Entschädigung</t>
  </si>
  <si>
    <t>AHV/IV/EO/ALV</t>
  </si>
  <si>
    <t>UVG</t>
  </si>
  <si>
    <t>Befreiung bei folgender Versicherung</t>
  </si>
  <si>
    <t>obligatorisch ab 8 Std/Woche</t>
  </si>
  <si>
    <t>freiwillig</t>
  </si>
  <si>
    <t>Lohnfortzahlung</t>
  </si>
  <si>
    <t>Berner Skala</t>
  </si>
  <si>
    <t>min. 80%</t>
  </si>
  <si>
    <t>Besteht eine Krankentaggeldversicherung?</t>
  </si>
  <si>
    <t>Anzahl Tage im aktuellen Monat</t>
  </si>
  <si>
    <t>aktuelle Version</t>
  </si>
  <si>
    <t>pensioniert?</t>
  </si>
  <si>
    <t>Erste Spalte verwendet für Auslesung</t>
  </si>
  <si>
    <t>violett: Felder die pro Monatsblatt andere Formel enthalten</t>
  </si>
  <si>
    <t>Rückerstattung KTG durch Versicherung ab</t>
  </si>
  <si>
    <t>Datum letzter Tag (offen lassen wenn nicht in diesem Monat)</t>
  </si>
  <si>
    <t>KTG Rückerstattung</t>
  </si>
  <si>
    <t>KTG:</t>
  </si>
  <si>
    <t>vollständig:</t>
  </si>
  <si>
    <t>Anteil 13. Mtlohn</t>
  </si>
  <si>
    <t>Taggelder der Krankenversicherung</t>
  </si>
  <si>
    <t>Art Auszahlung:</t>
  </si>
  <si>
    <t>N_Ferien_ArtAuszahlung_Auswahl:</t>
  </si>
  <si>
    <t>Aufteilung in Abwesenheitsblöcke</t>
  </si>
  <si>
    <t>Block 1</t>
  </si>
  <si>
    <t>Block 2</t>
  </si>
  <si>
    <t>Block 3</t>
  </si>
  <si>
    <t>Ferienguthaben (ohne Auswirkung auf Lohnzahlung)</t>
  </si>
  <si>
    <t>NBU Prämien</t>
  </si>
  <si>
    <t>Berufliche Vorsorge Prämie</t>
  </si>
  <si>
    <t>Familienzulage Prämie</t>
  </si>
  <si>
    <t>KTG Prämie</t>
  </si>
  <si>
    <t>Quellensteuer auf Korrekturen</t>
  </si>
  <si>
    <t>Anzeigensteuerung</t>
  </si>
  <si>
    <t xml:space="preserve">weiter in Zeile </t>
  </si>
  <si>
    <t>B_WeiterInZeile</t>
  </si>
  <si>
    <t>Grund</t>
  </si>
  <si>
    <t>Wartefrist</t>
  </si>
  <si>
    <t>Lohnabrechnung zum Ausdrucken</t>
  </si>
  <si>
    <t>Lohnabrechnung</t>
  </si>
  <si>
    <t>Abrechnungsdatum</t>
  </si>
  <si>
    <t>Ansatz</t>
  </si>
  <si>
    <t>Korrekturen</t>
  </si>
  <si>
    <t>Bruttolohn</t>
  </si>
  <si>
    <t>Sozialversicherungsabzüge</t>
  </si>
  <si>
    <t>AHV/IV/EO</t>
  </si>
  <si>
    <t>Arbeitslosenversicherung (ALV)</t>
  </si>
  <si>
    <t>Berufliche Vorsorge (Pensionskassenbeitrag)</t>
  </si>
  <si>
    <t>Les lignes 1-10 des feuilles de calcul restantes contiennent des aides pour utilisateur pour la commande sans synthèse vocale. Pour la commande avec synthèse vocale, ces lignes ne sont pas nécessaires.</t>
  </si>
  <si>
    <t>Feuille de calcul</t>
  </si>
  <si>
    <t>Description des registres</t>
  </si>
  <si>
    <t>Description</t>
  </si>
  <si>
    <t>Feuille de titre</t>
  </si>
  <si>
    <t>Description du décompte de salaire modèle et petit mode d'emploi pour son utilisation.</t>
  </si>
  <si>
    <t>Données de base</t>
  </si>
  <si>
    <t>Entrée de toutes les données nécessaires concernant la personnel assurée, la personne engagée, ce qui a été conclu dans le contrat de travail, ainsi que les assurances.</t>
  </si>
  <si>
    <t>Feuille mensuelle</t>
  </si>
  <si>
    <t>4ème trimestre</t>
  </si>
  <si>
    <t>Résumé de l'année</t>
  </si>
  <si>
    <t>Jan.</t>
  </si>
  <si>
    <t>Fév.</t>
  </si>
  <si>
    <t>Mars</t>
  </si>
  <si>
    <t>Avril</t>
  </si>
  <si>
    <t>Juin</t>
  </si>
  <si>
    <t>Juillet</t>
  </si>
  <si>
    <t>Août</t>
  </si>
  <si>
    <t>Sept.</t>
  </si>
  <si>
    <t>Oct.</t>
  </si>
  <si>
    <t>Nov.</t>
  </si>
  <si>
    <t>Déc.</t>
  </si>
  <si>
    <t>A la feuille import</t>
  </si>
  <si>
    <t>2ème étape</t>
  </si>
  <si>
    <t>A la feuille données de base</t>
  </si>
  <si>
    <t>3ème étape</t>
  </si>
  <si>
    <t>A la feuille 01 (janvier)</t>
  </si>
  <si>
    <t>4ème étape</t>
  </si>
  <si>
    <t>A la feuille résumé annuel</t>
  </si>
  <si>
    <t>Après le bouclement annuel, imprimé les données qui vous permettront d'établir un certificat de salaire pour les impôts.</t>
  </si>
  <si>
    <t>Champ vert clair</t>
  </si>
  <si>
    <t>ici vous pouvez rentrer vos données</t>
  </si>
  <si>
    <t>Champ jaune</t>
  </si>
  <si>
    <t>ici vous devez choisir dans la liste proposée</t>
  </si>
  <si>
    <t>Autres champs</t>
  </si>
  <si>
    <t>sont bloqués</t>
  </si>
  <si>
    <t>Ecriture bleu</t>
  </si>
  <si>
    <t>Ecriture italique</t>
  </si>
  <si>
    <t>Explications et renseignements</t>
  </si>
  <si>
    <t>Nous déclinons toute responsabilité</t>
  </si>
  <si>
    <t>Données de base pour le décompte de salaire modèle LAM-DSM</t>
  </si>
  <si>
    <t xml:space="preserve">Ceci est la cellule A11 de la feuille de calcul données de base. Commencez le remplissage ici, si vous travaillez avec une synthèse vocale (les lignes 1-10 contiennent le guide de l'utilisation pour le travail sans synthèse vocale) </t>
  </si>
  <si>
    <t>Dans la colonne C introduisez l'année pour laquelle vous établissez ce décompte:</t>
  </si>
  <si>
    <t>Au cas où il y a un licenciement ou la fin du contrat de travail entrée à la cellule</t>
  </si>
  <si>
    <t>Texte</t>
  </si>
  <si>
    <t>Explications</t>
  </si>
  <si>
    <t>Données</t>
  </si>
  <si>
    <t>Commentaire</t>
  </si>
  <si>
    <t>Données de l'employeur</t>
  </si>
  <si>
    <t>Prénom</t>
  </si>
  <si>
    <t>Complément d'adresse</t>
  </si>
  <si>
    <t>Lieu</t>
  </si>
  <si>
    <t>Taux pour la nuit</t>
  </si>
  <si>
    <t>Données issues du contrat de travail</t>
  </si>
  <si>
    <t>1. Données personnelles de l'assistant/e</t>
  </si>
  <si>
    <t>Nom</t>
  </si>
  <si>
    <t>Code postal</t>
  </si>
  <si>
    <t>Numéro d'assuré (No AVS)</t>
  </si>
  <si>
    <t>Date de naissance</t>
  </si>
  <si>
    <t>2. Date d'engagement et durée de la relation de travail (paragraphe 2 du contrat de travail modèle)</t>
  </si>
  <si>
    <t>Début du contrat de travail</t>
  </si>
  <si>
    <t>Introduisez dans la colonne C la date à laquelle la relation de travail commence selon le contartion de travail.</t>
  </si>
  <si>
    <t>sera utilisé pour décompter le nombre d'années de service. Un engagement avant le début de la contribution d'assistance sera pris en compte.</t>
  </si>
  <si>
    <t>Genres de relation de travail</t>
  </si>
  <si>
    <t>Fin de la relation de travail</t>
  </si>
  <si>
    <t>3. Temps d'essai (paragraphe 3 du contrat de travail modèle)</t>
  </si>
  <si>
    <t>Durée du temps d'essai</t>
  </si>
  <si>
    <t>en mois</t>
  </si>
  <si>
    <t>4. Temps de travail (paragraphe 4 du contrat de travail modèle)</t>
  </si>
  <si>
    <t>Qu'avez-vous convenu comme horaire de travail ?</t>
  </si>
  <si>
    <t>Temps de travail convenu</t>
  </si>
  <si>
    <t>Pourcentage du poste de travail</t>
  </si>
  <si>
    <t>heures = 100%; utilisé pour le décompte du temps de travail dû</t>
  </si>
  <si>
    <t>5. Salaire (Paragraphe 7 du contrat de travail modèle)</t>
  </si>
  <si>
    <t>Salaire brut</t>
  </si>
  <si>
    <t>Fr. par mois</t>
  </si>
  <si>
    <t>Fr. par heure</t>
  </si>
  <si>
    <t>Forfait d'assistance pour la nuit</t>
  </si>
  <si>
    <t>Fr. par nuit</t>
  </si>
  <si>
    <t>majoré de l'indemnité vacances</t>
  </si>
  <si>
    <t>(calcul selon les vacances convenues)</t>
  </si>
  <si>
    <t>Manière de payer les indemnités vacances</t>
  </si>
  <si>
    <t>Supplément pour heures supplémentaire</t>
  </si>
  <si>
    <t>Pourcentage</t>
  </si>
  <si>
    <t>Taux pour les heures supplémentaires</t>
  </si>
  <si>
    <t>13ème salaire</t>
  </si>
  <si>
    <t>Stundensätze für Monatslöhner:</t>
  </si>
  <si>
    <t>Bruttostundensatz</t>
  </si>
  <si>
    <t>geleistete Arbeitsstunden</t>
  </si>
  <si>
    <t>Arbeitsausfall mit Lohnfortzahlung</t>
  </si>
  <si>
    <t>Arbeitsausfall ohne Lohnfortzahlung</t>
  </si>
  <si>
    <t>Wartefrist für Unfalltaggeld:</t>
  </si>
  <si>
    <t>Dauer Taggeldleistungen:</t>
  </si>
  <si>
    <t>Gemäss Erwerbsersatzgesetz:</t>
  </si>
  <si>
    <t>max. Dauer gem. Berner Skala (Tage)</t>
  </si>
  <si>
    <t>Grund 4</t>
  </si>
  <si>
    <t>Grund 6</t>
  </si>
  <si>
    <t>Grund 9</t>
  </si>
  <si>
    <t>Dauer Lohnfortzahlung bei Unfall</t>
  </si>
  <si>
    <t>Dauer Lohnfortzahlung bei Mutterschaft:</t>
  </si>
  <si>
    <t>Höhe Lohnfortzahlung pro Grund:</t>
  </si>
  <si>
    <t>Lohnfortzahlung bei Arbeitsunfähigkeit</t>
  </si>
  <si>
    <t>angerechnet für Nachtdienst</t>
  </si>
  <si>
    <t>Stufe</t>
  </si>
  <si>
    <t>Stundenwert</t>
  </si>
  <si>
    <t>Berechnung Stundenmix</t>
  </si>
  <si>
    <t>Jan</t>
  </si>
  <si>
    <t>Feb</t>
  </si>
  <si>
    <t>Mrz</t>
  </si>
  <si>
    <t>Apr</t>
  </si>
  <si>
    <t>Mai</t>
  </si>
  <si>
    <t>Jun</t>
  </si>
  <si>
    <t>Jul</t>
  </si>
  <si>
    <t>Aug</t>
  </si>
  <si>
    <t>Sep</t>
  </si>
  <si>
    <t>Okt</t>
  </si>
  <si>
    <t>Nov</t>
  </si>
  <si>
    <t>Standard</t>
  </si>
  <si>
    <t>Quali B</t>
  </si>
  <si>
    <t>Nacht</t>
  </si>
  <si>
    <t>Total</t>
  </si>
  <si>
    <t>Einstufung Nacht:</t>
  </si>
  <si>
    <t>OR 324</t>
  </si>
  <si>
    <t>OR 324a</t>
  </si>
  <si>
    <t>Geburtsdatum</t>
  </si>
  <si>
    <t>Gesetzlicher Ferienanspruch</t>
  </si>
  <si>
    <t>bis zurückgelegtes Altersjahr</t>
  </si>
  <si>
    <t>OR-Werte</t>
  </si>
  <si>
    <t>Folgeereignis/Rückfall</t>
  </si>
  <si>
    <t>Kost und Logis</t>
  </si>
  <si>
    <t>Ausgleich Kost und Logis</t>
  </si>
  <si>
    <t>Lohnanspruch</t>
  </si>
  <si>
    <t>Dienstjahr des Kündigungsdatums</t>
  </si>
  <si>
    <t>L_Anrede</t>
  </si>
  <si>
    <t>A_Anrede_Auswahl</t>
  </si>
  <si>
    <t>Pensionsalter</t>
  </si>
  <si>
    <t>Freibetrag AHV</t>
  </si>
  <si>
    <t>Stundenwert ohne Nachtpauschale</t>
  </si>
  <si>
    <t>Max. Stundenwert mit Nachtpauschale</t>
  </si>
  <si>
    <t>L_Auszahlung_13</t>
  </si>
  <si>
    <t>Auszahlung 13. Monatslohn</t>
  </si>
  <si>
    <t>Dezember</t>
  </si>
  <si>
    <t>Juni / Dezember</t>
  </si>
  <si>
    <t>Vereinbartes Ferienguthaben (Wochen)</t>
  </si>
  <si>
    <t>3. Vous allez dans la cellule A1 de la feuille "I" du nouveau LAM-DSM et vous sélectionnez celle-ci</t>
  </si>
  <si>
    <t>Valeurs reportées d'un ancien LAM-DSM</t>
  </si>
  <si>
    <t>Heures quali B fournies en novembre de l'ancien LAM-DSM</t>
  </si>
  <si>
    <t>Heures quali B fournies en décembre de l'ancien LAM-DSM</t>
  </si>
  <si>
    <t>Nuits effectuées en octobre de l'ancien LAM-DSM</t>
  </si>
  <si>
    <t>Le versement se fait sur le compte</t>
  </si>
  <si>
    <t>Relation bancaire ou postale</t>
  </si>
  <si>
    <t xml:space="preserve">Nom et lieu de la banque </t>
  </si>
  <si>
    <t>Numéro de compte IBAN</t>
  </si>
  <si>
    <t>Répartition des charges sociales</t>
  </si>
  <si>
    <t>Part employeur</t>
  </si>
  <si>
    <t>Part employé</t>
  </si>
  <si>
    <t>AVS/AI/APG</t>
  </si>
  <si>
    <t>AC</t>
  </si>
  <si>
    <t>Frais administratifs AVS</t>
  </si>
  <si>
    <t>Selon le mode de prélèvement, veuillez entrez le % à la prochaine ligne ou celle d'après.</t>
  </si>
  <si>
    <t>Assurance accidents (AA)</t>
  </si>
  <si>
    <t>Francs par mois</t>
  </si>
  <si>
    <t>Assurance accidents non professionnels</t>
  </si>
  <si>
    <t>Allocations familiales</t>
  </si>
  <si>
    <t>Assurance perte de gain maladie</t>
  </si>
  <si>
    <t>Allocations familiales enfant/en formation</t>
  </si>
  <si>
    <t>Déduction pour l'impôt à la source</t>
  </si>
  <si>
    <t>6. Vacances (paragraphe 8 du contrat de travail modèle)</t>
  </si>
  <si>
    <t>Droit aux vacances</t>
  </si>
  <si>
    <t>Semaine/année</t>
  </si>
  <si>
    <t>7. Fin de la relation de travail (paragraphe 9 du contrat de travail modèle)</t>
  </si>
  <si>
    <t>Sans règles complémentaires dans le contrat de travail, les indications selon le CO sont valables dans la colonne D</t>
  </si>
  <si>
    <t>Délai de résiliation dans le 1ère année de service</t>
  </si>
  <si>
    <t>mois</t>
  </si>
  <si>
    <t>Délai de résiliation dès la 2ème année de service</t>
  </si>
  <si>
    <t>Résiliation possible dès</t>
  </si>
  <si>
    <t>Licencié à la date du</t>
  </si>
  <si>
    <t>Résiliation par</t>
  </si>
  <si>
    <t>8. Règles en cas de poursuite du paiement en cas de maladie (paragraphe 10 du contrat de travail modèle)</t>
  </si>
  <si>
    <t>Au cas où l'employé est empêché (CO Art. 324a) la poursuite du paiement de salaire se fera selon l'échelle bernoise.</t>
  </si>
  <si>
    <t>Durée du délai d'attente pour les indemnités accident</t>
  </si>
  <si>
    <t>Montant de l'indemnité accident versé à l'assistant/e</t>
  </si>
  <si>
    <t>Pourcentage du salaire brut</t>
  </si>
  <si>
    <t>Montant de l'indemnité accident versé par l'assurance</t>
  </si>
  <si>
    <t>Durée du délai d'attente</t>
  </si>
  <si>
    <t>Début du délai d'attente recommence dès</t>
  </si>
  <si>
    <t>Montant de l'indemnité maladie versé à l'assistant/e</t>
  </si>
  <si>
    <t>Montant de l'indemnité maladie versé par l'assurance</t>
  </si>
  <si>
    <t>Données concernant de l'assistance qui ne peut être fournie en raison d'un séjour en institution ou à l'hôpital (CO Art. 324)</t>
  </si>
  <si>
    <t>Montant maximal en cas de poursuite du paiement du salaire</t>
  </si>
  <si>
    <t>Stunden pro Nacht</t>
  </si>
  <si>
    <t>heures par nuit</t>
  </si>
  <si>
    <t>Merkblatt AHV</t>
  </si>
  <si>
    <t>Merkblatt AHV 2.01</t>
  </si>
  <si>
    <t>Mementi AVS 2.01</t>
  </si>
  <si>
    <t>Données importées d'un ancien LAM-DSM:</t>
  </si>
  <si>
    <t>Durée de l'événement art. 324 de l'année précédente:</t>
  </si>
  <si>
    <t>Incapacité de travail cumulée durant l'année de service en raison d'une maladie (selon CO 324a):</t>
  </si>
  <si>
    <t xml:space="preserve">Report des données à exporter: </t>
  </si>
  <si>
    <t>Année pour laquelle ce décompte a été établi:</t>
  </si>
  <si>
    <t>B_StdProNacht</t>
  </si>
  <si>
    <t>Jours</t>
  </si>
  <si>
    <t>Incapacité de travail cumulée en cas d'accident</t>
  </si>
  <si>
    <t>Incapacité de travail en cas de grossesse</t>
  </si>
  <si>
    <t>Prolongation du temps d'essai</t>
  </si>
  <si>
    <t>Délai d'attente en cours</t>
  </si>
  <si>
    <t>Durée actuelle de l'arrêt</t>
  </si>
  <si>
    <t>Heures quali B fournies en octobre</t>
  </si>
  <si>
    <t>Heures quali B fournies en novembre</t>
  </si>
  <si>
    <t>Heures quali B fournies en décembre</t>
  </si>
  <si>
    <t>Nuits effectuées en octobre</t>
  </si>
  <si>
    <t>Nuits effectuées en novembre</t>
  </si>
  <si>
    <t>Nuits effectuées en décembre</t>
  </si>
  <si>
    <t>Report des données de base</t>
  </si>
  <si>
    <t>Lohnabrechnung LAM: Übertrag der Daten ins neue LAM</t>
  </si>
  <si>
    <t>Bei der Eröffnung eines neuen LAM können die Daten von hier aus dem Blatt "E" (Export) in das Blatt "I" (Import) des neuen LAM kopiert werden:</t>
  </si>
  <si>
    <t>1. Hier im alten LAM ganzes Blatt "E" zum Exportieren markieren (Taste "Control" halten, dann zweimal Taste "a" drücken)</t>
  </si>
  <si>
    <t>3. Zum neuen LAM wechseln und auf Blatt "I" die Zelle A1 markieren</t>
  </si>
  <si>
    <t>Zu exportierende Daten:</t>
  </si>
  <si>
    <t>Werte für Übertrag ins neue LAM</t>
  </si>
  <si>
    <t>1. Ganzes Blatt "E" des vorgängigen LAM markieren (Taste "Control" halten, dann zweimal Taste "a" drücken)</t>
  </si>
  <si>
    <t>3. Zu Zelle A1 hier in Blatt "I" des neuen LAM wechseln und diese markieren</t>
  </si>
  <si>
    <t>Décompte de salaire modèle LAM-DSM</t>
  </si>
  <si>
    <t>Construction du LAM-DSM</t>
  </si>
  <si>
    <t>Au cas où les taux ne seraient plus valables parce qu'ils ont été adapté au renchérissement, une nouvelle version du LAM-DSM serait mise sur pied.</t>
  </si>
  <si>
    <t>A_GekündigtVon_Auswahl</t>
  </si>
  <si>
    <t>GekündigtVon</t>
  </si>
  <si>
    <t>Arbeitgeber</t>
  </si>
  <si>
    <t>Arbeitgeber fristlos</t>
  </si>
  <si>
    <t>Arbeitnehmer</t>
  </si>
  <si>
    <t>in gegenseitigem Einvernehmen</t>
  </si>
  <si>
    <t>gekündigt per</t>
  </si>
  <si>
    <t>Beginn Kündigungsfrist</t>
  </si>
  <si>
    <t>Stillstandsdauer</t>
  </si>
  <si>
    <t>Ablauf Kündigungsfrist</t>
  </si>
  <si>
    <t>Ende Kalenderwoche</t>
  </si>
  <si>
    <t>läuft Kündigungsfrist?</t>
  </si>
  <si>
    <t>Kündigungsschutz gemäss OR 336c (b)</t>
  </si>
  <si>
    <t>Sperrfrist (Tage)</t>
  </si>
  <si>
    <t>gilt Sperrfrist</t>
  </si>
  <si>
    <t>Restdauer Sperrfrist</t>
  </si>
  <si>
    <t>Beginn neue Sperrfrist</t>
  </si>
  <si>
    <t>A_Rückfall_Auswahl</t>
  </si>
  <si>
    <t>L_Rückfall</t>
  </si>
  <si>
    <t>Rückfall</t>
  </si>
  <si>
    <t>Neues Ereignis</t>
  </si>
  <si>
    <t>Neues Ereignis?</t>
  </si>
  <si>
    <t>läuft relevantes Ereignis?</t>
  </si>
  <si>
    <t>Anteil IV an KTG:</t>
  </si>
  <si>
    <t>Quali B (Std)</t>
  </si>
  <si>
    <t>Nacht (Std)</t>
  </si>
  <si>
    <t>übernommen aus Zeile</t>
  </si>
  <si>
    <t>repris de la ligne</t>
  </si>
  <si>
    <t>Voulez-vous saisir les prestations du rapport de travail à partir de la</t>
  </si>
  <si>
    <t>Wollen Sie die Leistung im Einsatzrapport erfassen ab</t>
  </si>
  <si>
    <t>gemäss Tarif errechnet aus Zeile</t>
  </si>
  <si>
    <t>selon le tarif calculé à la ligne</t>
  </si>
  <si>
    <t>Ferientage bezogen</t>
  </si>
  <si>
    <t>Jours de vacances</t>
  </si>
  <si>
    <t>geleistete Nächte im Dezember des alten LAM</t>
  </si>
  <si>
    <t xml:space="preserve">Lohnabrechnung LAM: Eintrag der Daten aus dem vorgängigen LAM </t>
  </si>
  <si>
    <t>Décompte de salaire modèle LAM-DSM: report des données d'une année à l'autre</t>
  </si>
  <si>
    <t>Zahleneingaben in diesem Abschnitt befinden sich in Spalte I, Texteingaben in verbundenen Zellen F bis I</t>
  </si>
  <si>
    <t>initial</t>
  </si>
  <si>
    <t>effektiv</t>
  </si>
  <si>
    <t>Berechnung Ende der Anstellung:</t>
  </si>
  <si>
    <t>Effektives Ende der Anstellung:</t>
  </si>
  <si>
    <t>Ferienguthaben im aktuellen Kalenderjahr</t>
  </si>
  <si>
    <t>A_Kündigungsmöglichkeit_Auswahl</t>
  </si>
  <si>
    <t>L_Kündigungsmöglichkeit</t>
  </si>
  <si>
    <t>Kündigungsmöglichkeit</t>
  </si>
  <si>
    <t>Ende Woche</t>
  </si>
  <si>
    <t>Ende Monat</t>
  </si>
  <si>
    <t>gekündigt auf Datum</t>
  </si>
  <si>
    <t>gekündigt durch</t>
  </si>
  <si>
    <t>L_GekündigtVon</t>
  </si>
  <si>
    <t>Bei Eröffnung eines neuen LAM können die Daten aus dem Blatt "E" (Export) des alten LAM hierher in das Blatt "I" (Import) kopiert werden:</t>
  </si>
  <si>
    <t>Importierte Daten aus dem alten LAM:</t>
  </si>
  <si>
    <t>Werte aus Übertrag vom alten LAM</t>
  </si>
  <si>
    <t>Ereignisdauer 324 Ende vorgängigem LAM:</t>
  </si>
  <si>
    <t>kumulierte Arbeitsunfähigkeit im Dienstjahr wegen Krankheit (gemäss OR 324a):</t>
  </si>
  <si>
    <t>geleistete Stunden mit Quali B im Oktober des alten LAM</t>
  </si>
  <si>
    <t>geleistete Stunden mit Quali B im November des alten LAM</t>
  </si>
  <si>
    <t>geleistete Stunden mit Quali B im Dezember des alten LAM</t>
  </si>
  <si>
    <t>geleistete Nächte im Oktober des alten LAM</t>
  </si>
  <si>
    <t>geleistete Nächte im November des alten LAM</t>
  </si>
  <si>
    <t>Korrekturen Sozialversicherungsbeiträge</t>
  </si>
  <si>
    <t>Corrections (déductions des charges sociales)</t>
  </si>
  <si>
    <t>Prévue indemnité journalière de l'assurance pour ce mois</t>
  </si>
  <si>
    <t>Auszahlung in diesem Monat</t>
  </si>
  <si>
    <t>Paiement ce mois</t>
  </si>
  <si>
    <t>hellgelbe Felder</t>
  </si>
  <si>
    <t>hier müssen Daten aus einer Liste ausgewählt werden</t>
  </si>
  <si>
    <t>sind gesperrt</t>
  </si>
  <si>
    <t>Angaben zum Arbeitgeber / zur Arbeitgeberin</t>
  </si>
  <si>
    <t>Versionskontrolle</t>
  </si>
  <si>
    <t>Liste der Änderungen ab Version 1.00</t>
  </si>
  <si>
    <t>aktuelle Version:</t>
  </si>
  <si>
    <t>Neue Versions-nummer nach Änderung:</t>
  </si>
  <si>
    <t>Datum</t>
  </si>
  <si>
    <t>Änderung in Blatt:</t>
  </si>
  <si>
    <t>Beschreibung der Änderung</t>
  </si>
  <si>
    <t>Name Autor</t>
  </si>
  <si>
    <t>Name Freigabe</t>
  </si>
  <si>
    <t>V. 1.10</t>
  </si>
  <si>
    <t>F. Tschopp</t>
  </si>
  <si>
    <t>Neu: monatliche Eingabe von Quellensteuer und Kinderzulage</t>
  </si>
  <si>
    <t>Monatsblätter</t>
  </si>
  <si>
    <t>Neue Zeile 409 eingefügt mit entsprechenden Texten für Monatsblätter</t>
  </si>
  <si>
    <t>C83: Änderung Eingabe Quellensteuer von % auf Ja / Nein</t>
  </si>
  <si>
    <t>C82: Änderung Eingabe Kinderzulage von Fr. / Mt auf Ja / Nein; Hinweis auf Handhabung bei Änderungen in D82 gelöscht</t>
  </si>
  <si>
    <t>Neue Zeile 38 eingefügt für Eingabe Quellensteuer; Anzeige wenn Quellensteuer in B = "Ja"; Formeln in G429, G434 und O325 angepasst. Übernahme des Wertes I38 aus Vormonat.</t>
  </si>
  <si>
    <t>Neue Zeile 37 eingefügt für Eingabe Kinderzulage; Anzeige wenn Kinderzulage in B = "Ja"; Formeln in H382 und O322 angepasst. Übernahme des Wertes I37 aus Vormonat.</t>
  </si>
  <si>
    <t>Neue Zeile 410 eingefügt mit entsprechenden Texten für Monatsblätter</t>
  </si>
  <si>
    <t>Auswahlmöglichkeit für Probezeit in C49 mit Wert "0" ergänzt</t>
  </si>
  <si>
    <t>jours du calendrier</t>
  </si>
  <si>
    <t>Tarifanpassungen</t>
  </si>
  <si>
    <t>Les champs de saisie dans cette section se trouve dans la colonne B pour les heures avec qualification standard, la colonne C pour les heures avec qualification B et D pour le nombre de nuits</t>
  </si>
  <si>
    <t>Dates
(vert = samedi / dimanche)</t>
  </si>
  <si>
    <t>Heures fournies avec qualification standard</t>
  </si>
  <si>
    <t>Heures fournies avec qualification B</t>
  </si>
  <si>
    <t>Nb de nuits fournies (à chaque fois 1)</t>
  </si>
  <si>
    <t>Remarques</t>
  </si>
  <si>
    <t>Heures prises en compte avec l'obligation du versement du salaire</t>
  </si>
  <si>
    <t>Heures prises en compte sans l'obligation du versement du salaire</t>
  </si>
  <si>
    <t>En cas de mois avec moins de 31 jours, vous ne pouvez pas utiliser les dernières lignes avec les dates du mois suivant.</t>
  </si>
  <si>
    <t>Heures de travail dues pour ce mois</t>
  </si>
  <si>
    <t>Heures de travail fournies</t>
  </si>
  <si>
    <t>Heures/forfait pour les veilles nocturnes</t>
  </si>
  <si>
    <t>Arrêt de travail avec obligation de verser le salaire</t>
  </si>
  <si>
    <t>Arrêt de travail sans obligation de verser le salaire</t>
  </si>
  <si>
    <t>Rémunération des heures supplémentaires</t>
  </si>
  <si>
    <t>Correction du solde des heures de travail sans effet sur le décompte salaire (saisie dans la colonne F)</t>
  </si>
  <si>
    <t>(trop peu d'heures de travail fournies)</t>
  </si>
  <si>
    <t>Saisissez dans les lignes suivantes toutes les corrections qui concernent les décomptes salaires des mois précédents. Celles-ci seront visibles dans le résumé annuel si c'est pertinent.</t>
  </si>
  <si>
    <t>Entrer les déductions avec le signe moins</t>
  </si>
  <si>
    <t>Les prochaines lignes contiennent les titres des colonnes</t>
  </si>
  <si>
    <t>Libellé</t>
  </si>
  <si>
    <t>Choix Oui/Non</t>
  </si>
  <si>
    <t>Valeur</t>
  </si>
  <si>
    <t>Libellé pour corrections (max. 32 signes)</t>
  </si>
  <si>
    <t>Forfait de nuit</t>
  </si>
  <si>
    <t>Indemnités vacances</t>
  </si>
  <si>
    <t>01 à 12</t>
  </si>
  <si>
    <t>Ein Tabellenblatt für Monat Januar bis Dezember. Eingabe der monatlich ändernden Angaben, Ausdruck der monatlichen Lohnabrechnung sowie Daten für den Übertrag ins Abrechnungssystem (ASTeK) oder in die Rechnungsformulare</t>
  </si>
  <si>
    <t>Complétez avec les donées mensuelles et imprimez le rapport de travail et la fiche de salaire.</t>
  </si>
  <si>
    <t>Saisissez les données dans la feuille Données de base (ou vérifiez et adaptez selon le besoin, si les données de l'année précédente ont été importées).</t>
  </si>
  <si>
    <t>Berufliche Vorsorge (BVG)</t>
  </si>
  <si>
    <t>Stand am Monatsbeginn</t>
  </si>
  <si>
    <t>Sollarbeitsstunden in diesem Monat</t>
  </si>
  <si>
    <t>Korrektur Saldo Arbeitsstunden ohne Auswirkungen auf Lohnabrechnung (Eingabe in Spalte F)</t>
  </si>
  <si>
    <t>Saldo Arbeitsstunden Monatsende</t>
  </si>
  <si>
    <t>Solde des heures de travail en début de mois</t>
  </si>
  <si>
    <t>Solde des heures de travail en fin de mois</t>
  </si>
  <si>
    <t>Grund 1, 2: Berechnung der Verlängerung der Kündigungsfrist durch Krankheit / Unfall</t>
  </si>
  <si>
    <t>Grund 3</t>
  </si>
  <si>
    <t>Ereignisdauer</t>
  </si>
  <si>
    <t>LFP Stundenlohn</t>
  </si>
  <si>
    <t>Std-Satz gem. Mix (für Std-Löhner):</t>
  </si>
  <si>
    <t>(diese Zeile wird benötigt für die richtige Berechnung der LFP)</t>
  </si>
  <si>
    <t>(Eingabe in Stammdaten)</t>
  </si>
  <si>
    <t>Maximale Dauer Rückvergütung Lohnfortzahlung durch AB-IV</t>
  </si>
  <si>
    <t>Reduktion Monatslohn</t>
  </si>
  <si>
    <t>ohne LFP</t>
  </si>
  <si>
    <t>total</t>
  </si>
  <si>
    <t>Nehmen Sie am Assistenzbeitrag der IV teil?</t>
  </si>
  <si>
    <t>Verfügung ausgestellt im Jahr</t>
  </si>
  <si>
    <t>L_NachtTarif (für Auswahl in B!C28)</t>
  </si>
  <si>
    <t>gültiger Tarif?</t>
  </si>
  <si>
    <t>B_AnsatzUngültig</t>
  </si>
  <si>
    <t>ACHTUNG: Ansatz ungültig für Verfügung aus</t>
  </si>
  <si>
    <t>Falls Spalte C nicht ausgefüllt, gelten Werte in Spalte D</t>
  </si>
  <si>
    <t>(Auswahl in I25; siehe Hinweis in nächster Zeile)</t>
  </si>
  <si>
    <t>Ferienguthaben (Rest aus Vorjahr)</t>
  </si>
  <si>
    <t>Participez-vous au contribution d'assistance de l'AI ?</t>
  </si>
  <si>
    <t>Décision valable dès l'année</t>
  </si>
  <si>
    <t>Au cas où la colonne C n'est pas rentrée, les valeurs dans la colonne D sont utilisées.</t>
  </si>
  <si>
    <t>Résumé de toutes les données afin de pouvoir les exporter dans un nouveau décompte de salaire modèle lors d'un passage d'une année à une autre. Vous pouvez coller cette feuille dans la feuille I du nouveau formulaire que vous allez ouvrir.</t>
  </si>
  <si>
    <t>(Choix dans I25; cf. la ligne suivante ci-dessus)</t>
  </si>
  <si>
    <t>Solde de vacances (restant de l'année précédente)</t>
  </si>
  <si>
    <t>Leeres Blatt, in welches die Daten aus dem alten LAM einkopiert werden können</t>
  </si>
  <si>
    <t>Zusammenstellung aller Daten, die in das neue Lohnabrechnungsmodell übernommen werden müssen. Kann in Blatt I des neuen Formulars kopiert werden</t>
  </si>
  <si>
    <t>Falls bereits ein LAM für die Assistenzperson geführt wurde, zuerst Eingaben im Blatt "Import" machen</t>
  </si>
  <si>
    <t>Données pour l'établissement du certificat de salaire pour les impôts</t>
  </si>
  <si>
    <t>Assistant/e</t>
  </si>
  <si>
    <t>9. Cotisation AVS/AI/AC/APG/LAANP</t>
  </si>
  <si>
    <t>10. Prévoyance professionnelle</t>
  </si>
  <si>
    <t>11. Salaire net</t>
  </si>
  <si>
    <t>12. Impôt à la source</t>
  </si>
  <si>
    <t>1er trimestre</t>
  </si>
  <si>
    <t>2ème trimestre</t>
  </si>
  <si>
    <t>3ème trimestre</t>
  </si>
  <si>
    <t>(wenn Arbeitsverhältnis befristet und für länger als 3 Monate eingegangen: ab Tag 1, sonst ab 1. Tag des 4ten Monats)</t>
  </si>
  <si>
    <t>Restguthaben Ferien (Kalendertage)</t>
  </si>
  <si>
    <t>Ferien:</t>
  </si>
  <si>
    <t>Ferienguthaben pro Jahr in Kalendertagen</t>
  </si>
  <si>
    <t>L_Ferien_ArtAuszahlung</t>
  </si>
  <si>
    <t>Ferien ArtAuszahlung</t>
  </si>
  <si>
    <t>Zuschlag pro geleistete Arbeitsstunde</t>
  </si>
  <si>
    <t>Art des Unfalls</t>
  </si>
  <si>
    <t>L_ArtUnfall</t>
  </si>
  <si>
    <t>Art Unfall</t>
  </si>
  <si>
    <t>A_ArtUnfall_Auswahl</t>
  </si>
  <si>
    <t>Page 5</t>
  </si>
  <si>
    <t>Page 6</t>
  </si>
  <si>
    <t>Page 9</t>
  </si>
  <si>
    <t>Berufsunfall</t>
  </si>
  <si>
    <t>(maximale Länge der Lohnabrechnung)</t>
  </si>
  <si>
    <t>NBU unversichert</t>
  </si>
  <si>
    <t>Grund 5, 8, 10</t>
  </si>
  <si>
    <t>ohne KTG</t>
  </si>
  <si>
    <t>mit KTG</t>
  </si>
  <si>
    <t>B=Bold, BG=Bold grau, K=kursiv</t>
  </si>
  <si>
    <t>K</t>
  </si>
  <si>
    <t xml:space="preserve"> </t>
  </si>
  <si>
    <t>AssistentIn</t>
  </si>
  <si>
    <t>1. Lohn (wenn keine weiteren Leistungen dazukommen, tragen Sie diesen Betrag ebenfalls unter Punkt 8, Bruttolohn total ein.)</t>
  </si>
  <si>
    <t>10. Berufliche Vorsorge</t>
  </si>
  <si>
    <t>11. Nettolohn</t>
  </si>
  <si>
    <t xml:space="preserve">Quellensteuer </t>
  </si>
  <si>
    <t>1. Quartal</t>
  </si>
  <si>
    <t>2. Quartal</t>
  </si>
  <si>
    <t>3. Quartal</t>
  </si>
  <si>
    <t>4. Quartal</t>
  </si>
  <si>
    <t>Kalenderjahr:</t>
  </si>
  <si>
    <t>Beginn Lohnperiode:</t>
  </si>
  <si>
    <t>Ende Lohnperiode:</t>
  </si>
  <si>
    <t>Versichertennummer:</t>
  </si>
  <si>
    <t>Angaben für die Erstellung des Lohnausweises</t>
  </si>
  <si>
    <t>12. Quellensteuerabzug</t>
  </si>
  <si>
    <t>Total übertragen in Steuerklärung Position:</t>
  </si>
  <si>
    <t>Q1</t>
  </si>
  <si>
    <t>Q2</t>
  </si>
  <si>
    <t>Q3</t>
  </si>
  <si>
    <t>Q4</t>
  </si>
  <si>
    <t>9. Beiträge AHV/IV/EO/ALV/NBUV</t>
  </si>
  <si>
    <t>k</t>
  </si>
  <si>
    <t>Jahreszusammenstellung</t>
  </si>
  <si>
    <t>kumulierte Arbeitsunfähigkeit wegen Unfall</t>
  </si>
  <si>
    <t>kumulierte Arbeitsunfähigkeit wegen Mutterschaft</t>
  </si>
  <si>
    <t>Verlängerung der Probezeit</t>
  </si>
  <si>
    <t>Laufende Sperrfrist</t>
  </si>
  <si>
    <t>Aktuelle Stillstandsdauer</t>
  </si>
  <si>
    <t>geleistete Stunden mit Quali B im Oktober</t>
  </si>
  <si>
    <t>geleistete Stunden mit Quali B im November</t>
  </si>
  <si>
    <t>geleistete Stunden mit Quali B im Dezember</t>
  </si>
  <si>
    <t>geleistete Nächte im Oktober</t>
  </si>
  <si>
    <t>geleistete Nächte im November</t>
  </si>
  <si>
    <t>geleistete Nächte im Dezember</t>
  </si>
  <si>
    <t>Stunden pro Nacht bei aktueller Einstufung:</t>
  </si>
  <si>
    <t/>
  </si>
  <si>
    <t>(solange keine Eingabe erfolgt ist, Ende 5tes Jahr nach gewähltem Abrechnungsjahr)</t>
  </si>
  <si>
    <t>Datum der Lohnabrechnung:</t>
  </si>
  <si>
    <t>Spesen, Beschreibung (40 Zeichen)</t>
  </si>
  <si>
    <t>Weitere Beiträge / Abzüge, Beschreibung (40 Zeichen)</t>
  </si>
  <si>
    <t>Bemerkung auf Lohnabrechnung, Zeile 1 (40 Zeichen)</t>
  </si>
  <si>
    <t>Bemerkung auf Lohnabrechnung, Zeile 2 (40 Zeichen)</t>
  </si>
  <si>
    <t>Dauer Zahlung Krankentaggeld</t>
  </si>
  <si>
    <t>Abwesenheiten: Geben Sie hier ein, wenn die Assistenzperson Ferien bezieht, krank ist, oder wenn wegen Heim- / Spitalaufenthalt keine Leistung entgegen genommen werden kann</t>
  </si>
  <si>
    <t>1. Ferien der Assistenzperson</t>
  </si>
  <si>
    <t>2. Arbeitsunfähigkeit der Assistenzperson (Art. 324a OR)</t>
  </si>
  <si>
    <t>(behinderte Person kann Leistung nicht entgegennehmen) (Art. 324 OR)</t>
  </si>
  <si>
    <t>geleistete Nächte (jeweils 1 eintragen)</t>
  </si>
  <si>
    <t>Begrenzung Nächte</t>
  </si>
  <si>
    <t>geleistete Stunden mit Standardqualifik.</t>
  </si>
  <si>
    <t>Tragen Sie in den nächsten Zeilen allfällige Korrekturen für die Lohnabrechnung vergangener Monate ein. Diese werden, wenn relevant, in der Jahresübersicht berücksichtigt.</t>
  </si>
  <si>
    <t>Jahr, für welches diese Abrechnung eingesetzt wurde:</t>
  </si>
  <si>
    <t>N_GekündigtVon_Auswahl</t>
  </si>
  <si>
    <t>N_GekündigtVon</t>
  </si>
  <si>
    <t>2. Kopieren (Control + c)</t>
  </si>
  <si>
    <t>Anteil ArbeitnehmerIn</t>
  </si>
  <si>
    <t>Auszahlung 13.:</t>
  </si>
  <si>
    <t>N_Auszahlung_13_Auswahl</t>
  </si>
  <si>
    <t>Version</t>
  </si>
  <si>
    <t>Anteil 13. Monatslohn für Taggelder</t>
  </si>
  <si>
    <t>Part du 13è salaire pour l'indemnité</t>
  </si>
  <si>
    <t>1. Sélectionnez toute la feuille "E" de l'année précédente (Pressez la touche "Control" et ensuite presser deux fois la touche "a")</t>
  </si>
  <si>
    <t>2. Copier (Control + c)</t>
  </si>
  <si>
    <t>Valeurs annuelles à reporter pour l'année suivante</t>
  </si>
  <si>
    <t>Solde du temps de travail dû</t>
  </si>
  <si>
    <t>Basis Sozialversicherungsabzüge</t>
  </si>
  <si>
    <t>Sprachwahl:</t>
  </si>
  <si>
    <t>Sprache</t>
  </si>
  <si>
    <t>JaNein</t>
  </si>
  <si>
    <t>AnstellungBefristet</t>
  </si>
  <si>
    <t>Arbeitsunfähigkeit_Grund</t>
  </si>
  <si>
    <t>Lohnart</t>
  </si>
  <si>
    <t>A_Lohnart_Auswahl</t>
  </si>
  <si>
    <t>max. Dauer LFP 324 (Tage)</t>
  </si>
  <si>
    <t>Sollarbeitsstunden pro Kalendertag:</t>
  </si>
  <si>
    <t>Arbeitszeit bezogene Grössen</t>
  </si>
  <si>
    <t>(Kalendertage weil Sa / So auch gearbeitet werden muss)</t>
  </si>
  <si>
    <t>Wochenarbeitszeit für 100% Pensum:</t>
  </si>
  <si>
    <t>Stunden</t>
  </si>
  <si>
    <t>wegen Arbeitgeber</t>
  </si>
  <si>
    <t>Priorität</t>
  </si>
  <si>
    <t>A_ArbeitsunfähigkeitGrund_Auswahl</t>
  </si>
  <si>
    <t>(als Liste nicht benutzt)</t>
  </si>
  <si>
    <t>(Grund bei reduzierter Arbeitsfähigkeit)</t>
  </si>
  <si>
    <t>(Grund für reduzierte Arbeitsfähigkeit)</t>
  </si>
  <si>
    <t>vor Anstellungsbeginn</t>
  </si>
  <si>
    <t>nach Anstellungsende</t>
  </si>
  <si>
    <t>(Hinweis bei LFP)</t>
  </si>
  <si>
    <t>A_Hinweis_LFP_Auswahl</t>
  </si>
  <si>
    <t>(Hinweis LFP)</t>
  </si>
  <si>
    <t>vor Beginn LFP</t>
  </si>
  <si>
    <t>Ferienguthaben aufgebraucht</t>
  </si>
  <si>
    <t>LFP überschritten</t>
  </si>
  <si>
    <t>Monate</t>
  </si>
  <si>
    <t>Kalendertage</t>
  </si>
  <si>
    <t>(falls in Stammdaten deklariert, sonst 3 Monate)</t>
  </si>
  <si>
    <t>Stunden pro Monat</t>
  </si>
  <si>
    <t>Ferienanspruch und Ferienzuschlag</t>
  </si>
  <si>
    <t>Wochen</t>
  </si>
  <si>
    <t>%</t>
  </si>
  <si>
    <t>AG-Beitrag total:</t>
  </si>
  <si>
    <t>Schwangerschaft (ohne Lohnanspruch)</t>
  </si>
  <si>
    <t>(=Bruttolohn, berechnet auf 365 Tage pro Jahr)</t>
  </si>
  <si>
    <t>% Arbeitsunfähigkeit</t>
  </si>
  <si>
    <t>Stundensatz</t>
  </si>
  <si>
    <t>geleistete Stunden während Arbeitsunfähigkeit</t>
  </si>
  <si>
    <t>Probezeit = 1</t>
  </si>
  <si>
    <t>Dauer der Probezeit</t>
  </si>
  <si>
    <t>Verlängerung Probezeit</t>
  </si>
  <si>
    <t>Hertrag:</t>
  </si>
  <si>
    <t>Übertrag:</t>
  </si>
  <si>
    <t>Ferienguthaben auf Lohnabrechnung ausdrucken?</t>
  </si>
  <si>
    <t>Imprimer l'avoir de vacances sur la décompte salaire?</t>
  </si>
  <si>
    <t>A155 umbenannt</t>
  </si>
  <si>
    <t>Wahlmöglichkeit für Ausdruck des Ferienguthabens auf der Lohnabrechnung eingefügt in Abschnitt 6</t>
  </si>
  <si>
    <t>Ausdrucksteuerung Lohnabrechnung gemäss Wahl Ausdruck Ferienguthaben ergänzt (F446 und 447)</t>
  </si>
  <si>
    <t>Données PGM incomplètes dans la feuille B</t>
  </si>
  <si>
    <t>bleu = vacances, brun-jaune = 100% incapacité de travail, gris = en dehors de la durée d'engagement</t>
  </si>
  <si>
    <t>Fiche salaire pour impression</t>
  </si>
  <si>
    <t>Rapport de travail</t>
  </si>
  <si>
    <t>Décompte de la contribution d'assistance</t>
  </si>
  <si>
    <t>Corrections</t>
  </si>
  <si>
    <t>Ceci est la ligne A11 de la feuille de calcul mensuelle de janvier. Commencez ici le remplissage, si vous utilisez un programme de synthèse vocale (les lignes 1-10 contiennent le guide d'utilisateur pour l'utilisation sans synthèse vocale).</t>
  </si>
  <si>
    <t>Décompte salaire pour impression</t>
  </si>
  <si>
    <t>Sur cette feuille, les unités de valeur "francs" avec l'abréviation "CHF" sont indiquées</t>
  </si>
  <si>
    <t>Données pour l'établissement du décompte de salaire mensuel</t>
  </si>
  <si>
    <t>Page 1</t>
  </si>
  <si>
    <t>Les données chiffrées dans cette partie se trouvent dans la colonne H, les données de texte sont reliées aux lignes F à I</t>
  </si>
  <si>
    <t>Genre de prestation</t>
  </si>
  <si>
    <t>Unité</t>
  </si>
  <si>
    <t>Nombre</t>
  </si>
  <si>
    <t>Qualification standard</t>
  </si>
  <si>
    <t>Heures</t>
  </si>
  <si>
    <t>Qualification B</t>
  </si>
  <si>
    <t>Service de nuit</t>
  </si>
  <si>
    <t>Obligation du versement du salaire pendant les vacances / incapacité de travail</t>
  </si>
  <si>
    <t>Heures supplémentaires</t>
  </si>
  <si>
    <t>Nourriture / Logement</t>
  </si>
  <si>
    <t>Frais, libellé (40 signes)</t>
  </si>
  <si>
    <t>Montant des frais</t>
  </si>
  <si>
    <t>Autres cotisations / Déductions, libellé (40 signes)</t>
  </si>
  <si>
    <t>Montant</t>
  </si>
  <si>
    <t>Pages 2-3</t>
  </si>
  <si>
    <t>Page 4</t>
  </si>
  <si>
    <t>Report dans ASTeK ou dans le formulaire de facturation</t>
  </si>
  <si>
    <t>hellgrüne Felder</t>
  </si>
  <si>
    <t>hier müssen Daten eingegeben werden</t>
  </si>
  <si>
    <t>Die Tabellenblätter sind so ausgelegt, dass sie auch mit einem Vorleseprogramm bedient werden können.</t>
  </si>
  <si>
    <t>Langue</t>
  </si>
  <si>
    <t>Import</t>
  </si>
  <si>
    <t>I</t>
  </si>
  <si>
    <t>Titelblatt</t>
  </si>
  <si>
    <t>Intro</t>
  </si>
  <si>
    <t>Export</t>
  </si>
  <si>
    <t>E</t>
  </si>
  <si>
    <t>1. Schritt</t>
  </si>
  <si>
    <t>2. Schritt</t>
  </si>
  <si>
    <t>3. Schritt</t>
  </si>
  <si>
    <t>4. Schritt</t>
  </si>
  <si>
    <t>Nach dem Jahresabschluss, drucken Sie die Daten für den Lohnausweis aus</t>
  </si>
  <si>
    <t>Dieses Lohnabrechnungsmodell (LAM) dient als Hilfsmittel für die Erfassung der Arbeitsleistung und die Erstellung der Lohnabrechnung für eine angestellte Assistenzperson während eines Kalenderjahres. Alle notwendigen Informationen für das Erstellen des Lohnausweises und die Abrechnung mit den Sozialversicherungen werden in einer Jahresübersicht zusammengestellt.</t>
  </si>
  <si>
    <t>A. Metger</t>
  </si>
  <si>
    <t>Indication: si vous n'utilisez pas ce formulaire depuis le début de l'année respectivement depuis le début de l'engagement, vous pouvez corriger le solde des heures de travail à la ligne 301 ("Correction du solde des heures de travail") et de l'avoir de vacances à la ligne 313 ("Correction avoir de vacances") dans la première feuille du mois utilisé.</t>
  </si>
  <si>
    <t>Std-Satz für Mix mit Ansätzen AB</t>
  </si>
  <si>
    <t>Ereignisdauer 324 Ende Vorjahr</t>
  </si>
  <si>
    <t>kumulierte Arbeitsunfähigkeit im Dienstjahr wegen Krankheit (gem. OR 324a)</t>
  </si>
  <si>
    <t>Durée de l'événement art. 324 de l'année précédente</t>
  </si>
  <si>
    <t>Incapacité de travail cumulée durant l'année de service en raison d'une maladie (selon CO 324a)</t>
  </si>
  <si>
    <t>Grund 5</t>
  </si>
  <si>
    <t>übrige Gründe</t>
  </si>
  <si>
    <t>reduzierte LFP</t>
  </si>
  <si>
    <t>alle Gründe</t>
  </si>
  <si>
    <t>Vers.leistung</t>
  </si>
  <si>
    <t>Taggelder der Unfallversicherung</t>
  </si>
  <si>
    <t>13è salaire</t>
  </si>
  <si>
    <t>Obligation de versement du paiement de salaire en cas de maladie</t>
  </si>
  <si>
    <t>Corrections pour les indemnités vacances</t>
  </si>
  <si>
    <t>Nourriture et logement</t>
  </si>
  <si>
    <t>Déductions des charges sociales</t>
  </si>
  <si>
    <t>Assurance chômage (AC)</t>
  </si>
  <si>
    <t>Prévoyance professionnelle (caisse de pension)</t>
  </si>
  <si>
    <t>Assurance accidents non professionnels (LAANP)</t>
  </si>
  <si>
    <t>Assurance perte de gain maladie (PGM)</t>
  </si>
  <si>
    <t>LAANP</t>
  </si>
  <si>
    <t>PGM</t>
  </si>
  <si>
    <t>Total des déductions</t>
  </si>
  <si>
    <t>Indemnité journalière de l'assurance perte de gain maladie</t>
  </si>
  <si>
    <t>Allocation familiale pour enfant/jeune en formation</t>
  </si>
  <si>
    <t>Frais (frais de remplacement)</t>
  </si>
  <si>
    <t>Corrections pour l'impôt à la source</t>
  </si>
  <si>
    <t>Frais (Frais de remplacement)</t>
  </si>
  <si>
    <t>Compensation nourriture et logement</t>
  </si>
  <si>
    <t>Autres</t>
  </si>
  <si>
    <t>Montant à verser</t>
  </si>
  <si>
    <t>Dans les lignes vides, au besoin il y a d'autres informations et interrogations insérables.</t>
  </si>
  <si>
    <t>Nuits</t>
  </si>
  <si>
    <t>Heures, calculées automatiquement à partir des absences</t>
  </si>
  <si>
    <t>CHF ( déductions avec un moins)</t>
  </si>
  <si>
    <t>Décompte salaire</t>
  </si>
  <si>
    <t>(Achtung: kein Nachtdienst verfügt)</t>
  </si>
  <si>
    <t>ligne</t>
  </si>
  <si>
    <t>(Choix en colonne C)</t>
  </si>
  <si>
    <t>(trop d'heures de travail fournies)</t>
  </si>
  <si>
    <t>Übertrag Basisdaten</t>
  </si>
  <si>
    <t>en cas de question merci de contacter l'employeur.</t>
  </si>
  <si>
    <t>Veuillez vérifiez votre fiche salaire,</t>
  </si>
  <si>
    <t>Remarque concernant le décompte salaire, ligne 1</t>
  </si>
  <si>
    <t>Remarque ligne 2 (40 signes par ligne)</t>
  </si>
  <si>
    <t>Nächte</t>
  </si>
  <si>
    <t xml:space="preserve">Ferienguthaben per Ende Monat: </t>
  </si>
  <si>
    <t>Seiten 2-3</t>
  </si>
  <si>
    <t>Position im Rechnungsformular:</t>
  </si>
  <si>
    <t>Art des Arbeitsverhältnisses</t>
  </si>
  <si>
    <t>Zeile</t>
  </si>
  <si>
    <t>B_Zeile</t>
  </si>
  <si>
    <t>Monatliche Abrechnung</t>
  </si>
  <si>
    <t>Verrechnung Assistenzbeitrag</t>
  </si>
  <si>
    <t>Abwesenheiten</t>
  </si>
  <si>
    <t>Einsatzrapport</t>
  </si>
  <si>
    <t xml:space="preserve">Formatierung: neg=Anzeige in weisser Schrift; 0=nicht anzeigen; pos=Anzeige </t>
  </si>
  <si>
    <t>Dies ist Zelle A11 des Tabellenblattes Monatsblatt Januar. Beginnen Sie hier, wenn Sie mit einem Vorleseprogramm arbeiten (Zeilen 1-10 enthalten die Benutzerführung für die Bedienung ohne Vorleseprogramm)</t>
  </si>
  <si>
    <t>Hinweis: falls die Ansätze wegen Teuerungsanpassung nicht mehr gültig sind, neue Version LAM beschaffen</t>
  </si>
  <si>
    <t>OR 324a, Grund5</t>
  </si>
  <si>
    <t>Falls in diesem Jahr das Arbeitsverhältnis beendet wird, Eingabe in Zeile</t>
  </si>
  <si>
    <t>Stunden = 100% Pensum; wird verwendet für die Berechnung der Soll-Arbeitszeit</t>
  </si>
  <si>
    <t>Bei fristloser Kündigung entsprechend auswählen in C</t>
  </si>
  <si>
    <t>Angabe benötigt für die korrekte Berechnung des Lohnes im letzten Monat</t>
  </si>
  <si>
    <t>Basisdaten fürs Lohnabrechnungsmodell LAM</t>
  </si>
  <si>
    <t>Dauer Zahlung Unfalltaggeld</t>
  </si>
  <si>
    <t>Bemerkungen</t>
  </si>
  <si>
    <t>Monatslohn</t>
  </si>
  <si>
    <t>Stundenlohn</t>
  </si>
  <si>
    <t>Beginn Arbeitsverhältnis</t>
  </si>
  <si>
    <t>Ende Arbeitsverhältnis</t>
  </si>
  <si>
    <t>Ferien</t>
  </si>
  <si>
    <t>trifft zu</t>
  </si>
  <si>
    <t>Total:</t>
  </si>
  <si>
    <t>Text</t>
  </si>
  <si>
    <t>Betrag</t>
  </si>
  <si>
    <t>Quellensteuer</t>
  </si>
  <si>
    <t>A_Ferien_ArtAuszahlung_Auswahl</t>
  </si>
  <si>
    <t>Fr./Std</t>
  </si>
  <si>
    <t>maximale Dauer Lohnzahlung gem. 324</t>
  </si>
  <si>
    <t>Date du dernier jour (sur ce mois)</t>
  </si>
  <si>
    <t>Datum letzter Tag (in diesem Monat)</t>
  </si>
  <si>
    <t>A_Auszahlung_13_Auswahl</t>
  </si>
  <si>
    <t>Überstunden (Auszahlung)</t>
  </si>
  <si>
    <t>Berechnung 13. Monatslohn</t>
  </si>
  <si>
    <t>Anspruch pro rata:</t>
  </si>
  <si>
    <t>Auszahlung im Dezember:</t>
  </si>
  <si>
    <t>Auszahlung im Juni / Dezember:</t>
  </si>
  <si>
    <t>01 bis 12</t>
  </si>
  <si>
    <t>Eingaben für die Erstellung der monatlichen Lohnabrechnung</t>
  </si>
  <si>
    <t>Einheit</t>
  </si>
  <si>
    <t>Standardqualifikation</t>
  </si>
  <si>
    <t>Qualifikation B</t>
  </si>
  <si>
    <t>Nachtdienst</t>
  </si>
  <si>
    <t>Anzahl Nächte</t>
  </si>
  <si>
    <t>Lohnfortzahlung während Ferien / Arbeitsunfähigkeit</t>
  </si>
  <si>
    <t>Überstunden</t>
  </si>
  <si>
    <t>Eingaben zu Tagen mit reduzierter oder ohne Arbeitsleistung</t>
  </si>
  <si>
    <t>Datum erster Ferientag</t>
  </si>
  <si>
    <t>Datum letzter Ferientag</t>
  </si>
  <si>
    <t>Ferienguthaben Monatsende</t>
  </si>
  <si>
    <t>Ferienguthaben Monatsbeginn</t>
  </si>
  <si>
    <t>Datum erster Tag</t>
  </si>
  <si>
    <t>Datum letzter Tag</t>
  </si>
  <si>
    <t>Saldo Arbeitsstunden:</t>
  </si>
  <si>
    <t>Versichertennummer (AHV-Nr.)</t>
  </si>
  <si>
    <t>3. Probezeit (Abschnitt 3 des Musterarbeitsvertrages)</t>
  </si>
  <si>
    <t>in Monaten</t>
  </si>
  <si>
    <t>4. Arbeitszeit (Abschnitt 4 des Musterarbeitsvertrages)</t>
  </si>
  <si>
    <t>Vereinbarte Arbeitszeit</t>
  </si>
  <si>
    <t>Listen und Auswahlfelder</t>
  </si>
  <si>
    <t>N_Lohnart:</t>
  </si>
  <si>
    <t>N_LohnartAuswahl:</t>
  </si>
  <si>
    <t>Pauschal für Assistenz in der Nacht</t>
  </si>
  <si>
    <t>zuzüglich Ferienentschädigung</t>
  </si>
  <si>
    <t>Art der Auszahlung des Ferienzuschlages</t>
  </si>
  <si>
    <t>Zuschlag für Überstunden</t>
  </si>
  <si>
    <t>Prozent</t>
  </si>
  <si>
    <t>Satz für Überstunden</t>
  </si>
  <si>
    <t>Zahlung erfolgt im</t>
  </si>
  <si>
    <t>Kontonummer IBAN</t>
  </si>
  <si>
    <t>6. Ferien (Abschnitt 8 des Musterarbeitsvertrages)</t>
  </si>
  <si>
    <t>Wochen pro Jahr</t>
  </si>
  <si>
    <t>(Sprache Auswahl)</t>
  </si>
  <si>
    <t>Sprache:</t>
  </si>
  <si>
    <t>N_SpracheAuswahl:</t>
  </si>
  <si>
    <t>Zum Blatt Import</t>
  </si>
  <si>
    <t>Zum Blatt 01 (Januar)</t>
  </si>
  <si>
    <t>Geben Sie in Spalte C das Datum ein, ab wann das Arbeitsverhältnis gemäss Arbeitsvertrag besteht</t>
  </si>
  <si>
    <t>B_AuswahlSpalteC</t>
  </si>
  <si>
    <t>(Auswahl in Spalte C)</t>
  </si>
  <si>
    <t>Zahlungsverbindung Bank</t>
  </si>
  <si>
    <t>Name der Bank und Ort</t>
  </si>
  <si>
    <t>Eingaben je nach Berechnungsart in nächster oder übernächster Zeile</t>
  </si>
  <si>
    <t>7. Beendigung des Arbeitsverhältnisses (Abschnitt 9 des Musterarbeitsvertrages)</t>
  </si>
  <si>
    <t>Kündigungsfrist im 1. Dienstjahr</t>
  </si>
  <si>
    <t>Kündigungsfrist ab 2. Dienstjahr</t>
  </si>
  <si>
    <t>Kündigung möglich per</t>
  </si>
  <si>
    <t>Si le % est pris sur les cotisations AVS, introduire dans la colonne C</t>
  </si>
  <si>
    <t>Si le % est pris sur le salaire brut, introduire dans la colonne C</t>
  </si>
  <si>
    <t>Si le montant est en Francs, introduire dans la colonne C</t>
  </si>
  <si>
    <t>Si le montant est en %, introduire dans la colonne C</t>
  </si>
  <si>
    <t>Durée maximale du versement de l'indemnité journalière maladie</t>
  </si>
  <si>
    <t>Evénement par mois</t>
  </si>
  <si>
    <t>Fin de cette feuille de calcul</t>
  </si>
  <si>
    <t>B_KTG_unvollständig</t>
  </si>
  <si>
    <t>B_übernommenAusZeile</t>
  </si>
  <si>
    <t>B_gemTarifausZeile</t>
  </si>
  <si>
    <t>Beschreibungstext zu Korrektur (max. 32 Zeichen)</t>
  </si>
  <si>
    <t>B_Anzahl</t>
  </si>
  <si>
    <t>B_Stunden</t>
  </si>
  <si>
    <t>B_Tage</t>
  </si>
  <si>
    <t>Datum
(grün = Samstag / Sonntag)</t>
  </si>
  <si>
    <t>Bei Monaten mit weniger als 31 Tagen dürfen die letzten Zeilen mit dem Datum des Folgemonats nicht benutzt werden</t>
  </si>
  <si>
    <t>Folgemonat?</t>
  </si>
  <si>
    <t>Durée maximale du versement de l'indemnité journalière accident</t>
  </si>
  <si>
    <t>Stunden, automatisch berechnet aus Abwesenheiten</t>
  </si>
  <si>
    <t>Für Ausdruck: "Drucken" -&gt; "Druckbereich Seite 2 bis 2" -&gt; OK.</t>
  </si>
  <si>
    <t>In den leeren Zeilen werden bei Bedarf weitere Informationen und Abfragen eingeblendet</t>
  </si>
  <si>
    <t>Hinweis:</t>
  </si>
  <si>
    <t>Vergütung von Überstunden</t>
  </si>
  <si>
    <t>8. Regelungen zur Lohnfortzahlung (Abschnitt 10 des Musterarbeitsvertrages)</t>
  </si>
  <si>
    <t>Prozent vom Bruttolohn</t>
  </si>
  <si>
    <t>Dauer Wartefrist Unfalltaggeld</t>
  </si>
  <si>
    <t>Dauer Wartefrist Krankentaggeld</t>
  </si>
  <si>
    <t>Zahlung an AN</t>
  </si>
  <si>
    <t>Vergütung durch IV</t>
  </si>
  <si>
    <t>Maximale Lohnfortzahlung</t>
  </si>
  <si>
    <t>Monate pro Ereignis</t>
  </si>
  <si>
    <t>Lohnabrechnung LAM: Jahresübersicht</t>
  </si>
  <si>
    <t>Saldo Soll-Arbeitszeit</t>
  </si>
  <si>
    <t>Wie haben Sie die Arbeitszeit vereinbart?</t>
  </si>
  <si>
    <t>L_ArbeitszeitVereinbarung</t>
  </si>
  <si>
    <t>ArbeitszeitVereinbarung</t>
  </si>
  <si>
    <t>N_ArbeitszeitVereinbarungAuswahl</t>
  </si>
  <si>
    <t>Ohne abweichende Regelung im Arbeitsvertrag gelten die Angaben gemäss OR in Spalte D</t>
  </si>
  <si>
    <t>Vorname</t>
  </si>
  <si>
    <t>Name</t>
  </si>
  <si>
    <t>Adresse</t>
  </si>
  <si>
    <t>Adresszusatz</t>
  </si>
  <si>
    <t>PLZ</t>
  </si>
  <si>
    <t>Ort</t>
  </si>
  <si>
    <t>Herr</t>
  </si>
  <si>
    <t>Anrede</t>
  </si>
  <si>
    <t>Frau</t>
  </si>
  <si>
    <t>Nein</t>
  </si>
  <si>
    <t>Ja</t>
  </si>
  <si>
    <t>Stunden pro Woche</t>
  </si>
  <si>
    <t>13. Monatslohn</t>
  </si>
  <si>
    <t>Dez</t>
  </si>
  <si>
    <t>Ferienanspruch</t>
  </si>
  <si>
    <t>(korrigiert gemäss Anstellung)</t>
  </si>
  <si>
    <t>Tage</t>
  </si>
  <si>
    <t>befristet</t>
  </si>
  <si>
    <t>L_Arbeitsunfähigkeit_Grund</t>
  </si>
  <si>
    <t>Unfall</t>
  </si>
  <si>
    <t>Mutterschaft</t>
  </si>
  <si>
    <t>Vorgabewerte LAM-AB-IV</t>
  </si>
  <si>
    <t>Dienstjahr</t>
  </si>
  <si>
    <t>&gt;20</t>
  </si>
  <si>
    <t>Interne Berechnungen</t>
  </si>
  <si>
    <t>Für die Lohnfortzahlungspflicht:</t>
  </si>
  <si>
    <t>Beginn der Lohnfortzahlungspflicht:</t>
  </si>
  <si>
    <t>kumuliert Dienstjahr</t>
  </si>
  <si>
    <t>A_Arbeitsunfähigkeit324a_Auswahl</t>
  </si>
  <si>
    <t>L_Lohnart</t>
  </si>
  <si>
    <t>Nuits effectuées en novembre de l'ancien LAM-DSM</t>
  </si>
  <si>
    <t>Nuits effectuées en décembre de l'ancien LAM-DSM</t>
  </si>
  <si>
    <t>Heures quali B fournies en octobre de l'ancien LAM-DSM</t>
  </si>
  <si>
    <t>1. Sélectionnez toute la feuille "E" de l'ancien LAM-DSM pour l'exporter (Pressez la touche "Control" et ensuite presser deux fois la touche "a")</t>
  </si>
  <si>
    <t>3.  Vous allez dans la cellule A1 de la feuille "I" du nouveau LAM-DSM et vous sélectionnez celle-ci</t>
  </si>
  <si>
    <t>Warnung: Prämie für Nichtbetriebs-Unfallversicherung in Blatt B noch nicht ausgefüllt</t>
  </si>
  <si>
    <t>Daten KTG in Blatt B noch unvollständig</t>
  </si>
  <si>
    <t>Version:</t>
  </si>
  <si>
    <t>Fr./Monat</t>
  </si>
  <si>
    <t>Hinweis: wenn Sie dieses Formular nicht ab Jahresbeginn bzw. ab Anstellung benutzen, können Sie den Saldo der Sollarbeitszeit in Zeile 301 ("Korrektur Saldo Arbeitsstunden") und das Ferienguthaben in Zeile 313 (Korrektur Ferienguthaben) des ersten verwendeten Monatsblattes korrigieren.</t>
  </si>
  <si>
    <t>V. 1.20</t>
  </si>
  <si>
    <t>Neu: Umbenennung ABBE / ABTG in Kantonales Assistenbudget; Fehlerkorrektur</t>
  </si>
  <si>
    <t>Nehmen Sie an einem kantonalen Assistenzbudget teil?</t>
  </si>
  <si>
    <t>Participez-vous aux prestations d'assistance cantonales ?</t>
  </si>
  <si>
    <t>A29 umbenannt</t>
  </si>
  <si>
    <t>alle</t>
  </si>
  <si>
    <t>Copyright in Fusszeile auf Assistenzbüro ABü geändert</t>
  </si>
  <si>
    <t>Korrektur F159, 169, F179 (war nicht in allen Monaten identisch mit Januar)</t>
  </si>
  <si>
    <t>Voraussichtliche Leistung der Versicherung für diesen Monat</t>
  </si>
  <si>
    <t>Unfallabwesenheit in diesem Monat?</t>
  </si>
  <si>
    <t>Abwesenheit wegen Krankheit in diesem Monat?</t>
  </si>
  <si>
    <t>Droit à un remboursement par la CA de l'AI (si pas d'assurance)</t>
  </si>
  <si>
    <t>Anspruch auf Rückvergütung durch AB-IV (falls nicht versichert)</t>
  </si>
  <si>
    <t>AHV/IV/EO Prämien</t>
  </si>
  <si>
    <t>ALV Prämien</t>
  </si>
  <si>
    <t>Cotisation AVS/AI/APG</t>
  </si>
  <si>
    <t>Cotisation AC</t>
  </si>
  <si>
    <t>Erläuterungen</t>
  </si>
  <si>
    <t>Eingabe</t>
  </si>
  <si>
    <t>Kommentar</t>
  </si>
  <si>
    <t>2. Stellenantritt und Dauer des Arbeitsverhältnisses (Abschnitt 2 des Musterarbeitsvertrages)</t>
  </si>
  <si>
    <t>Monatsblatt</t>
  </si>
  <si>
    <t>Assistenzbeitrag Standardqualifikation</t>
  </si>
  <si>
    <t>Assistenzbeitrag Qualifikation B</t>
  </si>
  <si>
    <t>übrige Felder</t>
  </si>
  <si>
    <t>Jede Haftung wird abgelehnt.</t>
  </si>
  <si>
    <t>Prévoyance professionnelle (PP)</t>
  </si>
  <si>
    <t>Y a-t-il une assurance perte de gain?</t>
  </si>
  <si>
    <t>min.80%</t>
  </si>
  <si>
    <t>Zeilen 1-10 der übrigen Tabellenblätter enthalten Benutzerhilfen für die Bedienung ohne Vorleseprogramm und sind fixiert. Für die Bedienung mit Vorleseprogramm werden diese Zeilen nicht benötigt.</t>
  </si>
  <si>
    <t>kursive Schrift</t>
  </si>
  <si>
    <t>Erläuterungen und Hinweise</t>
  </si>
  <si>
    <t>N_AnstellungBefristetAuswahl</t>
  </si>
  <si>
    <t>Anstellung:</t>
  </si>
  <si>
    <t>Berechnetes Pensum:</t>
  </si>
  <si>
    <t>Regelung der Sozialversicherungsbeiträge</t>
  </si>
  <si>
    <t>Anteil ArbeitgeberIn</t>
  </si>
  <si>
    <t>AHV / IV / EO</t>
  </si>
  <si>
    <t>ALV</t>
  </si>
  <si>
    <t>Verwaltungskosten AHV</t>
  </si>
  <si>
    <t>Familienzulagen</t>
  </si>
  <si>
    <t>Berufsunfall (BU)</t>
  </si>
  <si>
    <t>Nichtberufsunfall</t>
  </si>
  <si>
    <t>Krankentaggeld</t>
  </si>
  <si>
    <t>Familienausgleichskasse</t>
  </si>
  <si>
    <t>Kinder- / Ausbildungszulage</t>
  </si>
  <si>
    <t>Franken pro Monat</t>
  </si>
  <si>
    <t>Abzug für Quellensteuer</t>
  </si>
  <si>
    <t>Lohnabrechnungsmodell LAM</t>
  </si>
  <si>
    <t>Beschreibung des Lohnabrechnungsmodells und Kurzanleitung für die Bedienung</t>
  </si>
  <si>
    <t>Erfassen Sie die monatlichen Angaben und drucken Sie den Einsatzrapport und die Lohnabrechnung aus</t>
  </si>
  <si>
    <t>Einsatzrapport pro Tag</t>
  </si>
  <si>
    <t>Wartefrist beginnt neu je …</t>
  </si>
  <si>
    <t>L_WartefristKTGJe</t>
  </si>
  <si>
    <t>Wartefrist KTG Je</t>
  </si>
  <si>
    <t>je Krankheitsfall</t>
  </si>
  <si>
    <t>je Dienstjahr</t>
  </si>
  <si>
    <t>Wartefrist je:</t>
  </si>
  <si>
    <t>keine Arbeitsunfähigkeit</t>
  </si>
  <si>
    <t>Wenn die Assistenzperson bereits im Vorjahr bei Ihnen angestellt war, müssen Sie bei Eröffnung des LAMs gewisse Werte aus dem Vorjahr übernehmen. Kopieren Sie dazu das Tabellenblatt Export des Vorjahres in das Blatt Import des neuen Jahres.</t>
  </si>
  <si>
    <t>KTG-Versicherung läuft aus am (=Ende Lohnfortzahlung)</t>
  </si>
  <si>
    <t>Assurance PGM expire au (=fin du versement du salaire)</t>
  </si>
  <si>
    <t>Ansätze für die Nacht:</t>
  </si>
  <si>
    <t>Ansätze Assistenzbeitrag</t>
  </si>
  <si>
    <t>Falls ArbeitnehmerIn verhindert (OR Art. 324a) wird die Lohnfortzahlung gemäss Berner Skala berechnet.</t>
  </si>
  <si>
    <t>Ende dieses Tabellenblattes</t>
  </si>
  <si>
    <t>Ansatz für die Nacht</t>
  </si>
  <si>
    <t>Heures standard</t>
  </si>
  <si>
    <t>Nb de nuits</t>
  </si>
  <si>
    <t>Salaire net</t>
  </si>
  <si>
    <t>Frais</t>
  </si>
  <si>
    <t>Obligation de versement du salaire du</t>
  </si>
  <si>
    <t>Obligation de versement du salaire jusqu'au</t>
  </si>
  <si>
    <t>Obligation de versement du salaire pour</t>
  </si>
  <si>
    <t>Raison de l'incapacité du travail</t>
  </si>
  <si>
    <t>Raison en cas d'une autre situation</t>
  </si>
  <si>
    <t>Remboursement d'autres assurances</t>
  </si>
  <si>
    <t>Remboursement en CHF</t>
  </si>
  <si>
    <t>Délai d'attente</t>
  </si>
  <si>
    <t>Données concernant les jours sans prestation de travail ou si elle est diminuée</t>
  </si>
  <si>
    <t>Le champ d'entrée de cette partie se trouve dans la colonne I</t>
  </si>
  <si>
    <t>1. Vacances de l'assistant/e</t>
  </si>
  <si>
    <t>Avoir de vacances en début de mois</t>
  </si>
  <si>
    <t>Jours du calendrier</t>
  </si>
  <si>
    <t>Début des vacances</t>
  </si>
  <si>
    <t>Date du 1er jour de vacances</t>
  </si>
  <si>
    <t>Fin des vacances</t>
  </si>
  <si>
    <t>Date du dernier jour de vacances</t>
  </si>
  <si>
    <t>Avoir de vacances en fin de mois</t>
  </si>
  <si>
    <t>2. Incapacité de travail de l'assistant/e (Art. 324a CO)</t>
  </si>
  <si>
    <t>Début de l'absence</t>
  </si>
  <si>
    <t>Fin de l'absence</t>
  </si>
  <si>
    <t>Date du dernier jour</t>
  </si>
  <si>
    <t>Raison de l'absence</t>
  </si>
  <si>
    <t>Choix dans la colonne G-I</t>
  </si>
  <si>
    <t>Genre d'accident</t>
  </si>
  <si>
    <t>Provoqué par un événement antérieur</t>
  </si>
  <si>
    <t>Etendue de l'incapacité de travail</t>
  </si>
  <si>
    <t>Remboursement des indemnités par l'assurance</t>
  </si>
  <si>
    <t>(Délai d'attente</t>
  </si>
  <si>
    <t>Date du dernier jour (laisse ouvert si celui n'est pas sur ce mois)</t>
  </si>
  <si>
    <t>(Durée</t>
  </si>
  <si>
    <t>Provoqué par un événement antérieur ?</t>
  </si>
  <si>
    <t>Date du 1er jour</t>
  </si>
  <si>
    <t>3. Empêchement de fournir la prestation de travail</t>
  </si>
  <si>
    <t>(La personne handicapée ne peut accepter la prestation) (Art. 324 CO)</t>
  </si>
  <si>
    <t>Début de l'empêchement</t>
  </si>
  <si>
    <t>Fin de l'empêchement</t>
  </si>
  <si>
    <t>Rapport de travail journalier</t>
  </si>
  <si>
    <t>Pages 7-8</t>
  </si>
  <si>
    <t>Solde des vacances disponible (sans effet sur l'obligation de versement de salaire)</t>
  </si>
  <si>
    <t>Cotisation LAANP</t>
  </si>
  <si>
    <t>Cotisation Prévoyance professionnelle</t>
  </si>
  <si>
    <t>Cotisation allocations familiales</t>
  </si>
  <si>
    <t>Cotisation PGM</t>
  </si>
  <si>
    <t>Allocations familiales enfant/jeune en formation</t>
  </si>
  <si>
    <t>Indemnité journalière de l'assurance accident</t>
  </si>
  <si>
    <t>Indemnité journalière de l'assurance maladie</t>
  </si>
  <si>
    <t>Impôt à la source</t>
  </si>
  <si>
    <t>Fin de la feuille de calcul</t>
  </si>
  <si>
    <t>Fiche de salaire</t>
  </si>
  <si>
    <t>Date du décompte</t>
  </si>
  <si>
    <t>Nombre / %</t>
  </si>
  <si>
    <t>Unité / Base</t>
  </si>
  <si>
    <t>Part juin</t>
  </si>
  <si>
    <t>Part décembre</t>
  </si>
  <si>
    <t>OR 324a (übrige)</t>
  </si>
  <si>
    <t>Begriffe, Einheiten, Warnungen</t>
  </si>
  <si>
    <t>B_NBU_fehlt</t>
  </si>
  <si>
    <t>(Wartefrist</t>
  </si>
  <si>
    <t>(Dauer</t>
  </si>
  <si>
    <t>Lohnkosten für Mix gemäss Arbeitsvertrag:</t>
  </si>
  <si>
    <t>OR 324a, Grund6</t>
  </si>
  <si>
    <t>Sozial-beiträge</t>
  </si>
  <si>
    <t>LFP CHF (OR 324a)</t>
  </si>
  <si>
    <t>2. Gehaltsnebenleistungen, 2.1. Verpflegung, Unterkunft</t>
  </si>
  <si>
    <t>Minutenwert</t>
  </si>
  <si>
    <t>Aufbau des LAM's</t>
  </si>
  <si>
    <t>Basisdaten</t>
  </si>
  <si>
    <t>Eingabe aller notwendigen Daten zur versicherten Person, zur angestellten Assistenzperson, zu den Abmachungen im Arbeitsvertrag und zu den Versicherungen</t>
  </si>
  <si>
    <t>Registerbezeichnung</t>
  </si>
  <si>
    <t>Tabellenblatt</t>
  </si>
  <si>
    <t>Lohnausweis</t>
  </si>
  <si>
    <t>L</t>
  </si>
  <si>
    <t>Jahreszusammenstellung der Daten für den Lohnausweis</t>
  </si>
  <si>
    <t>Kurzanleitung LAM</t>
  </si>
  <si>
    <t>Zu den Basisdaten</t>
  </si>
  <si>
    <t>Zum Lohnausweis</t>
  </si>
  <si>
    <t>blaue Schrift</t>
  </si>
  <si>
    <t>Hyperlinks führen Sie beim Anklicken weiter</t>
  </si>
  <si>
    <t>Offset Zeilen:</t>
  </si>
  <si>
    <t>zurück zum Intro</t>
  </si>
  <si>
    <t>Geben Sie in Spalte C das Jahr der Lohnabrechnung ein:</t>
  </si>
  <si>
    <t>verwendet für die Berechnung des Dienstalters; eine Anstellung vor dem Assistenzbeitrag wird angerechnet</t>
  </si>
  <si>
    <t>berechnet aus vereinbarten Ferien</t>
  </si>
  <si>
    <t>Regelung bei Unfall wegen Leistung der Unfallversicherung</t>
  </si>
  <si>
    <t>Höhe versichertes Unfalltaggeld</t>
  </si>
  <si>
    <t>Regelung bei Abschluss einer Krankentaggeldversicherung</t>
  </si>
  <si>
    <t>Höhe vereinbarter Lohn bei Unfall</t>
  </si>
  <si>
    <t>Höhe vereinbarter Lohn bei Krankheit</t>
  </si>
  <si>
    <t>Höhe versichertes Krankentaggeld</t>
  </si>
  <si>
    <t>Vereinbarung für den Fall, dass Assistenz wegen Heim / Spital nicht entgegengenommen werden kann (OR Art. 324)</t>
  </si>
  <si>
    <t>OuiNon</t>
  </si>
  <si>
    <t>Duréeengagement</t>
  </si>
  <si>
    <t>Raison_Incapacité</t>
  </si>
  <si>
    <t>Type de salaire</t>
  </si>
  <si>
    <t>Type de paiement de vacances</t>
  </si>
  <si>
    <t>(Raison pour la réduction du temps de travail)</t>
  </si>
  <si>
    <t>Possibilité de résiliation</t>
  </si>
  <si>
    <t>Résilié par</t>
  </si>
  <si>
    <t>Retour</t>
  </si>
  <si>
    <t>Titre</t>
  </si>
  <si>
    <t>Oui</t>
  </si>
  <si>
    <t>Déterminé</t>
  </si>
  <si>
    <t>Maladie</t>
  </si>
  <si>
    <t>Salaire mensuel</t>
  </si>
  <si>
    <t>Supplément pour heures de travail accomplies</t>
  </si>
  <si>
    <t>Avant le début de l'engagement</t>
  </si>
  <si>
    <t>avant le début LFP</t>
  </si>
  <si>
    <t>Fin de la semaine</t>
  </si>
  <si>
    <t>Employeur</t>
  </si>
  <si>
    <t>Nouvel événement</t>
  </si>
  <si>
    <t>Monsieur</t>
  </si>
  <si>
    <t>Non</t>
  </si>
  <si>
    <t>Indéterminé</t>
  </si>
  <si>
    <t>Accident</t>
  </si>
  <si>
    <t>Salaire horaire</t>
  </si>
  <si>
    <t>Paiement séparé en cas de vacances</t>
  </si>
  <si>
    <t>Après la fin de l'engagement</t>
  </si>
  <si>
    <t>Avoir de vacances utilisés aufgebraucht</t>
  </si>
  <si>
    <t>Fin du mois</t>
  </si>
  <si>
    <t>Employeur sans délai</t>
  </si>
  <si>
    <t>Madame</t>
  </si>
  <si>
    <t>Grossesse</t>
  </si>
  <si>
    <t>Vacances</t>
  </si>
  <si>
    <t>LFP dépassé</t>
  </si>
  <si>
    <t>Employé</t>
  </si>
  <si>
    <t>à cause de l'employeur</t>
  </si>
  <si>
    <t>D'un commun accord</t>
  </si>
  <si>
    <t>Maternité</t>
  </si>
  <si>
    <t>Versement du 13è salaire</t>
  </si>
  <si>
    <t>Décembre</t>
  </si>
  <si>
    <t>Juin/Décembre</t>
  </si>
  <si>
    <t>nombre</t>
  </si>
  <si>
    <t>heures</t>
  </si>
  <si>
    <t>jours</t>
  </si>
  <si>
    <t>Ce décompte de salaire modèle doit permettre de saisir tout ce qui concernele rendement du travail, mais également d'établir le décompte salaire d'un/e assistant/e pendant une année civile. Dans le résumé annuel, vous trouvez toutes les informations nécessaires pour établir un certificat de salaire pour les impôts et le décompte des assurances sociales.</t>
  </si>
  <si>
    <t>Chaque mois, vous allez introduire les données qui vous seront nécessaires pour établir votre facturation pour la contribution d'assistance de l'AI ou pour d'autres structures cantonales.</t>
  </si>
  <si>
    <t>Les feuilles de calcul sont faites de manière à permettre l'utilisation d'une synthèse vocale.</t>
  </si>
  <si>
    <t>Erfassen Sie die Angaben im Blatt Basisdaten (oder überprüfen und passen Sie sie bei Bedarf an, wenn Sie Daten aus dem Vorjahr importiert haben)</t>
  </si>
  <si>
    <t>Résumé annuel</t>
  </si>
  <si>
    <t>Résumé annuel. Edition des données établir le certificat de salaire pour les impôts.</t>
  </si>
  <si>
    <t>Une feuille vide, dans laquelle les données de l'année précédente peuvent être recopiées.</t>
  </si>
  <si>
    <t>Mode d'emploi court</t>
  </si>
  <si>
    <t>1ère étape</t>
  </si>
  <si>
    <t>separate Auszahlung während Ferienbezug</t>
  </si>
  <si>
    <t>Nichtberufsunfallversicherung (NBU)</t>
  </si>
  <si>
    <t>Krankentaggeldversicherung</t>
  </si>
  <si>
    <t>Total Abzüge</t>
  </si>
  <si>
    <t>Nettolohn</t>
  </si>
  <si>
    <t>Quellensteuerabzug</t>
  </si>
  <si>
    <t>aktueller Stand</t>
  </si>
  <si>
    <t>CHF ( Abzüge mit Minuszeichen)</t>
  </si>
  <si>
    <t>% gemäss Arztzeugnis</t>
  </si>
  <si>
    <t>Spesen (Auslagenersatz)</t>
  </si>
  <si>
    <t>Kinder-/Ausbildungszulage</t>
  </si>
  <si>
    <t>Andere</t>
  </si>
  <si>
    <t>Auszahlungsbetrag</t>
  </si>
  <si>
    <t>CHF</t>
  </si>
  <si>
    <t>Der Betrag wird wie folgt überwiesen:</t>
  </si>
  <si>
    <t>Anzahl / %</t>
  </si>
  <si>
    <t xml:space="preserve">Korrektur Ferienentschädigung </t>
  </si>
  <si>
    <t>L_Sprache</t>
  </si>
  <si>
    <t>Deutsch</t>
  </si>
  <si>
    <t>Français</t>
  </si>
  <si>
    <t>L_JaNein</t>
  </si>
  <si>
    <t>A_JaNein_Auswahl</t>
  </si>
  <si>
    <t>L_AnstellungBefristet</t>
  </si>
  <si>
    <t>unbefristet</t>
  </si>
  <si>
    <t>Anstellungsverhältnis:</t>
  </si>
  <si>
    <t>Une feuille de calcul pour les mois de janvier à décembre. La rentrée des données qui varie chaque mois, l'édition de la fiche de salaire mensuelle, les données à reporter dans ASTeK ou dans le formulaire de facturation.</t>
  </si>
  <si>
    <t>Dies ist Zelle A11 des Tabellenblattes Basisdaten. Beginnen Sie hier, wenn Sie mit einem Vorleseprogramm arbeiten (Zeilen 1-10 enthalten die Benutzerführung für die Arbeit ohne Vorleseprogramm)</t>
  </si>
  <si>
    <t>Anteil Juni</t>
  </si>
  <si>
    <t>Anteil Dezember</t>
  </si>
  <si>
    <t>in Lohnausweis nicht aufzuführen</t>
  </si>
  <si>
    <t xml:space="preserve">Monatlich werden die Daten errechnet, die für die Rechnungsstellung für den Assistenzbeitrag an die IV oder kantonale Stellen benötigt werden. </t>
  </si>
  <si>
    <t>Angaben aus dem Arbeitsvertrag</t>
  </si>
  <si>
    <t>1. Personalien der Assistenzperson</t>
  </si>
  <si>
    <t>5. Lohn (Abschnitt 7 des Musterarbeitsvertrages)</t>
  </si>
  <si>
    <t>Seite 1</t>
  </si>
  <si>
    <t>Seite 4</t>
  </si>
  <si>
    <t>Seite 5</t>
  </si>
  <si>
    <t>Seite 6</t>
  </si>
  <si>
    <t>Seiten 7-8</t>
  </si>
  <si>
    <t>Seite 9</t>
  </si>
  <si>
    <t>Übertrag ins ASTeK bzw. für das Rechnungsformular</t>
  </si>
  <si>
    <t>falls in % des Bruttolohn berechnet, in Spalte C eingeben</t>
  </si>
  <si>
    <t>falls in % des AHV-Beitrages berechnet, in Spalte C eingeben</t>
  </si>
  <si>
    <t>falls in % berechnet, in Spalte C eingeben</t>
  </si>
  <si>
    <t>falls in Fr. berechnet, in Spalte C eingeben</t>
  </si>
  <si>
    <t>Franken pro Stunde</t>
  </si>
  <si>
    <t>Franken pro Nacht</t>
  </si>
  <si>
    <t xml:space="preserve">Art der Leistung </t>
  </si>
  <si>
    <t>Décompte mensuel</t>
  </si>
  <si>
    <t>Absences</t>
  </si>
  <si>
    <t>Pas assuré LAANP</t>
  </si>
  <si>
    <t>heures hebdomadaires</t>
  </si>
  <si>
    <t>par cas de maladie (français)</t>
  </si>
  <si>
    <t>Accident professionnel</t>
  </si>
  <si>
    <t>heures mensuelles</t>
  </si>
  <si>
    <t>par année de service</t>
  </si>
  <si>
    <t>Accident non professionnel</t>
  </si>
  <si>
    <t>suite à la ligne</t>
  </si>
  <si>
    <t>Si vous avez engagé l'assistant/e l'année précédente, vous devez à l'ouverture du LAM reporter certaines données de l'année précédente. Copier la feuille de calcule Export de l'année précédente dans la feuille Import de la nouvelle année.</t>
  </si>
  <si>
    <t>Hyperlien vous permet en cliquant de passez plus loin</t>
  </si>
  <si>
    <t>retour à l'Intro</t>
  </si>
  <si>
    <t>Au cas où un LAM-DSM est déjà en fonction pour l'assistant/e, vous pouvez d'abord "Importer" ses données</t>
  </si>
  <si>
    <t>Donnée nécessaire pour établir le décompte correct du salaire du dernier mois</t>
  </si>
  <si>
    <t>En cas de licenciement sans délai, choisir dans C</t>
  </si>
  <si>
    <t>retour à l'intro</t>
  </si>
  <si>
    <t>Etat actuel</t>
  </si>
  <si>
    <t>% selon le certificat médical</t>
  </si>
  <si>
    <t>2. Prestations salariales accessoires, 2.1. Pension, Logement</t>
  </si>
  <si>
    <t>angestellt?</t>
  </si>
  <si>
    <t>ausserhalb Anstellungsdauer</t>
  </si>
  <si>
    <t>en dehors de la durée d'engagement</t>
  </si>
  <si>
    <t>angerechnete Arbeitsstunden pro Nacht:</t>
  </si>
  <si>
    <t>Attention: les primes pour l'assurance accidents prof./non prof. n'ont pas encore été remplies à la feuille B</t>
  </si>
  <si>
    <t>Attention: taux pas valable pour une décision en</t>
  </si>
  <si>
    <t>Heures/forfait pour les veilles nocturnes:</t>
  </si>
  <si>
    <t>Règles valables en cas d'accident en raison de prestation de l'assurance accident:</t>
  </si>
  <si>
    <t>Règles valable en cas de maladie au cas où une assurance perte de gain maladie a été conclue:</t>
  </si>
  <si>
    <t>Avertissement: la prime pour l'assurance accidents non professionnels n'est pas encore rentrée dans la feuille B</t>
  </si>
  <si>
    <t>Indication:</t>
  </si>
  <si>
    <t>Décompte mensuel: vous pouvez introduire ici les informations qui vous permettront d'établir la fiche salaire pour ce mois</t>
  </si>
  <si>
    <t>Décompte de la contribution d'assistance: vous trouvez ici les données pour le report dans ASTeK (si vous n'utilisez pas ASTeK, à reporter dans le formulaire de facturation de la contribution d'assistance)</t>
  </si>
  <si>
    <t>Absences: Veuillez introduire si l'assistant/e est en vacances, malade ou si en raison d'un séjour à l'hôpital ou en institution aucune prestation n'a pu se faire</t>
  </si>
  <si>
    <t>Rapport de travail: Si vous désirez tenir un décompte des heures de travail, veuillez remplir ici le temps de travail par jour</t>
  </si>
  <si>
    <t>Corrections: si vous devez faire des corrections concernant un décompte de salaire antérieur, vous pouvez l'introduire ici</t>
  </si>
  <si>
    <t xml:space="preserve">Date de décompte: </t>
  </si>
  <si>
    <t>Pour l'impression: "Imprimer" -&gt; "Zone d'impression page 2 jusqu'à 2" -&gt; OK.</t>
  </si>
  <si>
    <t>Position dans le formulaire de facturation:</t>
  </si>
  <si>
    <t>Solde des heures de travail:</t>
  </si>
  <si>
    <t>(attention: pas de veille nocturne octroyée)</t>
  </si>
  <si>
    <t>Solde de vacances pour la fin du mois de:</t>
  </si>
  <si>
    <t>Le montant sera versé sur le compte:</t>
  </si>
  <si>
    <t>Décompte de salaire modèle LAM-DSM: Résumé annuel</t>
  </si>
  <si>
    <t>Année civile:</t>
  </si>
  <si>
    <t>Début de la période salaire:</t>
  </si>
  <si>
    <t>Fin de la période salaire:</t>
  </si>
  <si>
    <t>Numéro d'assuré:</t>
  </si>
  <si>
    <t>1. Salaire (si aucunes autres prestations s'y rajoutent, veuillez reporter ce montant sout le point 8: salaire brut total.)</t>
  </si>
  <si>
    <t>A l'ouverture d'un nouveau LAM-DSM, les données de la feuille "E" (Export) de l'ancien LAM-DSM peuvent être copiées dans la feuille "I" (Import):</t>
  </si>
  <si>
    <t>V. 1.30</t>
  </si>
  <si>
    <t>Vorgabewerte</t>
  </si>
  <si>
    <t>Korrektur in G155: Korrekturen für Taggelder und Kinderzulage mitberücksichtigt</t>
  </si>
  <si>
    <t>Tarife 2015 eingesetzt
Links auf AHV Merkblätter neu gesetzt</t>
  </si>
  <si>
    <t>https://www.ahv-iv.ch/fr/Mémentos-Formulaires/Mémentos/Cotisations-AVS-AI-APG-AC</t>
  </si>
  <si>
    <t>https://www.ahv-iv.ch/de/Merkblätter-Formulare/Merkblätter/Beiträge-AHV-IV-EO-ALV</t>
  </si>
  <si>
    <t>Zeilenhöhe Zeile 28 hochgesetzt</t>
  </si>
  <si>
    <t>V. 1.31</t>
  </si>
  <si>
    <t>Formel in G51 und I197 geändert, sodass auch auf französischem Betriebssystem "Monat Jahr" angezeigt wird</t>
  </si>
  <si>
    <t>V. 1.40</t>
  </si>
  <si>
    <t>Tarife 2016 für AHV/IV/EO-Beiträge in Default-Werte eingetragen</t>
  </si>
  <si>
    <t>G404 Anzeige 3-stellig</t>
  </si>
  <si>
    <t>Korrektur Berechnung Sozialversicherungsbeiträge für Pensionierte: Neuer Berechnungsweg für Sozialbeiträge in G155, Beitrag für jede Versicherung wird auch für Arbeitgeber individuell berechnet; Pensionierten-Freibetrag für AHV, Verwaltungsbeitrag und FAK, ALV=0 wenn pensioniert.</t>
  </si>
  <si>
    <t>AG Beitrag AHV</t>
  </si>
  <si>
    <t>AG ALV</t>
  </si>
  <si>
    <t>AG FAK</t>
  </si>
  <si>
    <t>AG BVG</t>
  </si>
  <si>
    <t>AG NBU</t>
  </si>
  <si>
    <t>AG KTG</t>
  </si>
  <si>
    <t>AG BU</t>
  </si>
  <si>
    <t>AG Verwaltungskosten</t>
  </si>
  <si>
    <t>Weitere Eingaben sind in den betreffenden Monatsblättern 01-12 Zeile</t>
  </si>
  <si>
    <t>vorzunehmen</t>
  </si>
  <si>
    <t>Bei Kinderzulage und bei Quellensteuer Hinweis auf Monatseingaben eingefügt</t>
  </si>
  <si>
    <t>D'autres données doivent être indiquées dans les feuilles mensuelles 01-12, ligne</t>
  </si>
  <si>
    <t>Hinweis in D59 zu Anrechnung des Nachtzuschlages gelöscht</t>
  </si>
  <si>
    <t>Berechnungen</t>
  </si>
  <si>
    <t>SUMME(' 12 '!$I370:' 12 '!$I371;' 12 '!$I373:$I399;-' 12 '!$I381;-' 12 '!$I379)</t>
  </si>
  <si>
    <t>Franken</t>
  </si>
  <si>
    <t>(für Übertrag ins ASTeK+)</t>
  </si>
  <si>
    <t>Francs</t>
  </si>
  <si>
    <t>(report dans ASTeK+)</t>
  </si>
  <si>
    <t>Salaire annuel (charges sociales incl., sans nourriture et logement)</t>
  </si>
  <si>
    <t>entspricht Monatssalär</t>
  </si>
  <si>
    <t>Jahreslohn (inkl. Sozialvers.-Beiträge, ohne Kost und Logis)</t>
  </si>
  <si>
    <t>A. Metger, 31.12.2015</t>
  </si>
  <si>
    <t>Berechnung 13. Monatslohn korrigiert: Taggelder bei Berechnung des "Anspruchs pro rata" nicht mehr mitgerechnet</t>
  </si>
  <si>
    <t>Berechnung des Jahreslohnes ergänzt für Übertrag in ASTeK+</t>
  </si>
  <si>
    <t>wählen Sie in Spalte C den aktuell gültigen Ansatz aus</t>
  </si>
  <si>
    <t>V. 1.50</t>
  </si>
  <si>
    <t>C28 Aktuell gültige Nachttarife in Auswahlfenster statt Tarife zur Zeit der Verfügung; Text in B28 entsprechend angepasst.</t>
  </si>
  <si>
    <t>Text angepasst für B!B28</t>
  </si>
  <si>
    <t>L_Nachttarif neu abhängig von N_Abrechnungsjahr statt von Jahr der Verfügung</t>
  </si>
  <si>
    <t>https://www.ahv-iv.ch/p/6.02.d</t>
  </si>
  <si>
    <t>https://www.ahv-iv.ch/p/6.02.f</t>
  </si>
  <si>
    <t>Siehe Hinweis in Zeile</t>
  </si>
  <si>
    <t>Text angepasst für M!A328</t>
  </si>
  <si>
    <t>Berechnung in P424 korrigiert ((P404+P405) statt (I404+P404))</t>
  </si>
  <si>
    <t>Text Tarife (Intro!A4) angepasst</t>
  </si>
  <si>
    <t>Bei Mutterschaft zusätzlicher Hinweis in A328, dass manuell berechnet werden soll. 
Anzeigesteuerung und bedingte Formatierung in Abschnitt "2. Arbeitsunfähigkeit der Assistenzperson (Art. 324a OR)" bei Auswahl "Mutterschaft" (in Zeilen 2013, 222, 231) angepasst.</t>
  </si>
  <si>
    <t>Texte und Übersetzungen für B!B28, 01!A214 und 01!A328 ergänzt</t>
  </si>
  <si>
    <t>choisissez dans la colonne C le taux actuel valable</t>
  </si>
  <si>
    <t>À voir l'indication dans la ligne</t>
  </si>
  <si>
    <t>Keine Lohnzahlung wenn abwesend wegen Mutterschaft: Anspruch auf Lohnfortzahlung bei Grund 9 immer auf 0.</t>
  </si>
  <si>
    <t>Formel vor Entfernung der Berechnung der Anspruchsberechtigung: (A261&gt;=N_LFP_Startdatum)*WENN(BG261&gt;N_LFP_Mutterschaft_Dauer_max*7;0;1)</t>
  </si>
  <si>
    <t>Grund 9 für Auswahl Arbeitsunfähigkeit gem. 324a ausgefiltert (AC257 = 0)</t>
  </si>
  <si>
    <t>V1.5 Grund 9 ausgefiltert</t>
  </si>
  <si>
    <t>Orange Markierung trotzdem eingeschaltet lassen (Anpassung bedingte Formatierung für Bereich Arbeitsrapport)</t>
  </si>
  <si>
    <t>Zellen für Lohnfortzahlung im Bereich Arbeitsrapport entschützt (G261:I291). Datenüberprüfung ergänzt dass nur Zahl eingegeben werden kann an Tagen, an denen Mutterschafts-Abwesenheit definiert ist.</t>
  </si>
  <si>
    <t>Indication pour l'allocation de maternité : l'indemnité d'allocation de maternité ne sera pas automatiquement prise en considération par le décompte de salaire LAM. Il y a deux méthodes différentes du traitement et du relevé de l'indemnité d'allocation maternité, à voit le lien en-dessous. Néanmoins vous avez dans l'indemnité d'allocation maternité la possibilité d'inscrire manuellement vos calculs, selon les feuilles mensuelles correspondantes à partir de la ligne 306 (corrections). En outre, vous devez régler manuellement le rapport de travail journalier à partir de la ligne 256 et rapporter les valeurs indiquées dans le tableau "Report dans ASTeK" (Ligne 146 et suivants), dans le module de facturation ASTeK.</t>
  </si>
  <si>
    <t>Anzeigesteuerung für Lohnfortzahung angepasst (O157, 168, 178) und Hinweistext eingeblendet (F161, 171, 181)</t>
  </si>
  <si>
    <t>A. Metger, 23.1.2017</t>
  </si>
  <si>
    <t>muss manuell ausgerechnet werden, siehe Zeile</t>
  </si>
  <si>
    <t>doit être calculé manuellement, voire ligne</t>
  </si>
  <si>
    <t>V. 1.60</t>
  </si>
  <si>
    <t>(1=deutsch, 2=français)</t>
  </si>
  <si>
    <t>In C3 3=italiano gelöscht</t>
  </si>
  <si>
    <t>Zelle C3 3=italiano gelöscht</t>
  </si>
  <si>
    <t>S. Ryser</t>
  </si>
  <si>
    <t>Inhalt Zelle A77 gelöscht</t>
  </si>
  <si>
    <t>Italienisch gelöscht:
Löschen der Spalteninhalte: (CA:CW) und der Zeileninhalte (A6, AA6 und BA6)
Löschen der Zellen: (A42: L46; M52:N61 und O42:X46)
Bereich L_Sprache angepasst von ($A$4:$A$6) zu ($A$4:$A$5)
Ab Spalte AA Zellen 71 und folgende auf Zelle 66 und folgende verschoben.</t>
  </si>
  <si>
    <t>Heures Quali B</t>
  </si>
  <si>
    <t>Vergütung IV</t>
  </si>
  <si>
    <t>Lohnfortzahlung IV</t>
  </si>
  <si>
    <t xml:space="preserve">Cause </t>
  </si>
  <si>
    <t>Kummuliert pro Grund</t>
  </si>
  <si>
    <t>Cummulé per cause</t>
  </si>
  <si>
    <t>Heueres</t>
  </si>
  <si>
    <t>Lohnfortzahlung Stunden</t>
  </si>
  <si>
    <t>Ansatz IV</t>
  </si>
  <si>
    <t>l</t>
  </si>
  <si>
    <t>V. 1.70</t>
  </si>
  <si>
    <t>Vorgabenwerte</t>
  </si>
  <si>
    <t>Einfügen der aktuellen Werte und der Pauschale IV für Lohnfortzahlung</t>
  </si>
  <si>
    <t>Einfügen der Werte OR 324a für Kanton in Zelle I155, Einfügen der Angaben für die Lohnfortzahlung in Stunden ab Zeile 158</t>
  </si>
  <si>
    <t>Text für OR 324 a Kanton und für Lohnfortzahlung angepasst.</t>
  </si>
  <si>
    <t>default</t>
  </si>
  <si>
    <t>Nehmen Sie am ABBE/ABTG teil?</t>
  </si>
  <si>
    <t>Berufliche Vorsorge (BV)</t>
  </si>
  <si>
    <t>V. 1.71</t>
  </si>
  <si>
    <t>A.Metger, 24.1.19</t>
  </si>
  <si>
    <t>kleinere Korrekturen von Version 1.70</t>
  </si>
  <si>
    <t>V 1.72.</t>
  </si>
  <si>
    <t>Anpassung für die Leserlichkeit Zeile 331</t>
  </si>
  <si>
    <t>A.Metger, 30.1.2019</t>
  </si>
  <si>
    <t>Indication: choix "oui": les valeurs sont repris de la ligne 295. Choix "non": les temps de travail peut être remplis dans les lignes 28 à 30.</t>
  </si>
  <si>
    <t>Hinweis: Bei "ja" werden die Stunden von Zeile 295 übernommen. Bei  "nein" können Arbeitszeiten gleich in Zeilen 28 bis 30 eingetragen werden.</t>
  </si>
  <si>
    <t>Falls Lohnabrechnung länger als bis Zeile 125, "Druckbereich Seite 2 bis 3" eingeben</t>
  </si>
  <si>
    <t>Si le décompte salaire dépasse la ligne 125, choisir "Zone d'impression 2 à 3"</t>
  </si>
  <si>
    <t>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t>
  </si>
  <si>
    <t>Kontrolldaten vom Tabellenblatt "B" (sind nicht ins ASTeK einzutragen)</t>
  </si>
  <si>
    <t>Les données de contrôle du titre de feuille "B" ne doivent pas être inscrites dans L'ASTeK.</t>
  </si>
  <si>
    <t>Diese Daten hier können hier nicht verändert werden!</t>
  </si>
  <si>
    <t>Ces données-ci ne peuvent pas être changées.</t>
  </si>
  <si>
    <t>Falls in diesem Jahr das Arbeitsverhältnis beendet wird, Eingabe in Zeile 95</t>
  </si>
  <si>
    <t>falls in % des Bruttolohn</t>
  </si>
  <si>
    <t>Si le % est pris sur le salaire brut</t>
  </si>
  <si>
    <t>falls in % des AHV-Beitrages</t>
  </si>
  <si>
    <t>Si le % est pris sur les cotisations AVS</t>
  </si>
  <si>
    <t>falls in %</t>
  </si>
  <si>
    <t>Si le montant est en %</t>
  </si>
  <si>
    <t>falls in Fr.</t>
  </si>
  <si>
    <t>Si le montant est en Francs</t>
  </si>
  <si>
    <t>='  B  '!C69</t>
  </si>
  <si>
    <t>Blatt eingefügt für Anzeige in Monatsblättern</t>
  </si>
  <si>
    <t>Kontrolldaten
Texte</t>
  </si>
  <si>
    <t>Anzeige Kontrolldaten in DQ148</t>
  </si>
  <si>
    <t xml:space="preserve">Danke. </t>
  </si>
  <si>
    <t xml:space="preserve">Bitte Lohnabrechnung sofort überprüfen und Unstimmigkeiten melden. </t>
  </si>
  <si>
    <t>Bereich Lohnabrechnung letzte drei Spalten eins nach rechts verschoben (wegen Ausdruck)</t>
  </si>
  <si>
    <t>A. Metger / S.Ryser</t>
  </si>
  <si>
    <t>A.Metger, 05.02.2019</t>
  </si>
  <si>
    <t>V. 1.73.</t>
  </si>
  <si>
    <t>Bug Fixing Zelle I25</t>
  </si>
  <si>
    <t>A. Metger, 26.6.19</t>
  </si>
  <si>
    <t>V.1.80</t>
  </si>
  <si>
    <t>Alex Metger</t>
  </si>
  <si>
    <t>A. Metger, 14.1.2020</t>
  </si>
  <si>
    <t>AHV-Beitragsätze angepasst, Versionenangabe auf 2020- V 1.80, I C30 auf 2019 sowie Anpassung der Fusszeilen: Text neu nur noch in Tabellenblätter B sowie 01-12 und L</t>
  </si>
  <si>
    <t>Übertragen Sie die grau hinterlegten Werte in das ASTeK unter Ausgaben für Assistenzpersonen.</t>
  </si>
  <si>
    <t>Kleinere Textanpassungen</t>
  </si>
  <si>
    <t>AHV</t>
  </si>
  <si>
    <t>BVG</t>
  </si>
  <si>
    <t>Kinderzulage</t>
  </si>
  <si>
    <t>Taggelder KTG</t>
  </si>
  <si>
    <t>Taggelder UV</t>
  </si>
  <si>
    <t>FAK Prämie</t>
  </si>
  <si>
    <t>V 1.90</t>
  </si>
  <si>
    <t>Reportez les valeurs inscrites en gris dans l'ASTeK dans le domaine Données de l'assistant/e pers.</t>
  </si>
  <si>
    <t>AHV-Beitragssätze und Ansätze Assistenz angepasst</t>
  </si>
  <si>
    <t>neue bedingte Formatierung eingebaut bei Zelle E313</t>
  </si>
  <si>
    <t>Druckbereich, Seitenränder und Skalierung neu festgelegt</t>
  </si>
  <si>
    <t>A. Metger, 27.12.2020</t>
  </si>
  <si>
    <t>A. Metger, 21.12.20</t>
  </si>
  <si>
    <t>Bug Fixing Zelle C75</t>
  </si>
  <si>
    <t>A. Metger, 28.12.2020</t>
  </si>
  <si>
    <r>
      <rPr>
        <b/>
        <sz val="10"/>
        <rFont val="Arial"/>
        <family val="2"/>
      </rPr>
      <t xml:space="preserve">Wenn </t>
    </r>
    <r>
      <rPr>
        <sz val="10"/>
        <rFont val="Arial"/>
        <family val="2"/>
      </rPr>
      <t>Formel eingebaut in A361 + A362 sowie in G367 + G368, minime Anpassung der Zeile 63</t>
    </r>
    <r>
      <rPr>
        <sz val="10"/>
        <rFont val="Arial"/>
        <family val="2"/>
      </rPr>
      <t xml:space="preserve"> an Höhe</t>
    </r>
  </si>
  <si>
    <t>4. Rechtsklick in Zelle A1 &gt; "Inhalte einfügen..." anwählen, "Werte" aktivieren und "ok" drücken</t>
  </si>
  <si>
    <t>4. Clic droit dans la cellule A1  &gt; choisir "Collage spécial...", activer "Valeurs" et cliquez "OK"</t>
  </si>
  <si>
    <t>Das Programm wird kostenlos zur Verfügung gestellt. Wir können deshalb keinen Support leisten.</t>
  </si>
  <si>
    <t>Ce programme est mis gratuitement à votre disposition. Un soutien/support technique n’est malheureusement pas possible.</t>
  </si>
  <si>
    <t xml:space="preserve">      Die Lohnabrechnung ist zweisprachig; wählen Sie Ihre Sprache in Zelle A7 aus. </t>
  </si>
  <si>
    <t xml:space="preserve">      Le décompte salaire est bilingue. Vous pouvez choisir celle qui vous convient à la ligne A7.</t>
  </si>
  <si>
    <t>V 1.91</t>
  </si>
  <si>
    <t>A52+A53 sowie G58+G59 korrigiert: Leerzeilen werden nicht mehr aufgedruckt</t>
  </si>
  <si>
    <t>Krankheit, Schwangerschaft mit Lohn</t>
  </si>
  <si>
    <t>Textanpassung, A6 + A7</t>
  </si>
  <si>
    <t>TB Intro, B, L wieder mit Passwort geschützt, Arbeitsmappe wieder passwort geschützt</t>
  </si>
  <si>
    <t>Monatsblatt 01</t>
  </si>
  <si>
    <t>G 218 Auswahlfeld: korrekter Text kann wieder ausgewählt werden</t>
  </si>
  <si>
    <t>Text in A2-A8 angepasst, Text in Zeile 104 mit Verknüpfung ergänzt</t>
  </si>
  <si>
    <t>Zelle AM8 Text gekürzt auf "Krankheit, Schwangerschaft mit Lohn"</t>
  </si>
  <si>
    <t>E264-E294 neu Schriftgrösse Arial 9.5, G262-I262, untere Rahmenlinie gelöscht</t>
  </si>
  <si>
    <t>C19-C29, C33-C44, C53, C59-C68 (ausser C63), C + D71, C + D80, D81+D82, C84 + C85, C91, C104-C110, Verknüpfungen zu TB I fehlten, wieder hergestellt</t>
  </si>
  <si>
    <t>Allgemein</t>
  </si>
  <si>
    <t>A. Metger, 27.5.2021</t>
  </si>
  <si>
    <t>Text korrigiert, Einblendung der Zeilen 28-132 und bedingte Formatierung wieder korrekt hergestellt, Text wieder weiss, Verknüpfungen zu TB Texte wieder hergestellt</t>
  </si>
  <si>
    <t>Bug C4-C14 korrigiert: Ansätze für 2021 werden nun korrekt gerechnet</t>
  </si>
  <si>
    <t>V2.0</t>
  </si>
  <si>
    <t>obligatorisch ab 21'510  pro Jahr</t>
  </si>
  <si>
    <t>Zelle K80 Wert angepasst</t>
  </si>
  <si>
    <t>Ausblendung Zeile 87 (Jahreslohn ASTeK+)</t>
  </si>
  <si>
    <r>
      <t>Anpassung Formel in G152: neu =WENN(N_NachtStufe=0;0;P30+</t>
    </r>
    <r>
      <rPr>
        <b/>
        <sz val="10"/>
        <rFont val="Arial"/>
        <family val="2"/>
      </rPr>
      <t>F316</t>
    </r>
    <r>
      <rPr>
        <sz val="10"/>
        <rFont val="Arial"/>
        <family val="2"/>
      </rPr>
      <t>)</t>
    </r>
  </si>
  <si>
    <t>Werte:</t>
  </si>
  <si>
    <t>Spaltenbezeichnung:</t>
  </si>
  <si>
    <t>Descriptif de colonne:</t>
  </si>
  <si>
    <t>Descritif de colonne:</t>
  </si>
  <si>
    <t>Valeurs:</t>
  </si>
  <si>
    <t>für AB-IV / AB Kanton</t>
  </si>
  <si>
    <t>pour CA-AI / BA cantonal</t>
  </si>
  <si>
    <t>nur für AB Kanton</t>
  </si>
  <si>
    <t>pour que BA cantonal</t>
  </si>
  <si>
    <t>Lohnfortzahlung Nächte</t>
  </si>
  <si>
    <t>Obligation de versement: nombre de nuits</t>
  </si>
  <si>
    <t>Anpassung Formeln in F161, F172 + F183</t>
  </si>
  <si>
    <t>LFP Stunden (OR 324)</t>
  </si>
  <si>
    <t>LFP Nächte (OR 324)</t>
  </si>
  <si>
    <t>OVS nuits (CO 324)</t>
  </si>
  <si>
    <t>OVS heures (CO 324)</t>
  </si>
  <si>
    <t>neuer Text in A157 (Layout des Texts kann leider nicht angepasst werden)</t>
  </si>
  <si>
    <t>neue Nachtzuschläge für ab 2022: Stufe 1= 55.85 Umwandlung Tagstd: 1.67 Stufe = 100 Min; 2 = 76.40 = 2.28 Std. = 137 Min, Stufe 3 = 116.55 = 3.48 Std. = 209 Min.; Stufe 4 = 160.50 = 4.79 Std. = 288 Min.</t>
  </si>
  <si>
    <t>Fehlermeldungen die bei Falscheingaben erscheinen in Zellen I220 + I221, I230 + I231, I240 + I241 gelöscht</t>
  </si>
  <si>
    <t>Texte und graue sowie die 3 grünen Streifen zwischen Zeile 158 - 189 sind nun immer ersichtlich</t>
  </si>
  <si>
    <t>Charges sociales</t>
  </si>
  <si>
    <t>OVS CHF (CO 324a)</t>
  </si>
  <si>
    <t>OVS CHF (CO 324)</t>
  </si>
  <si>
    <t xml:space="preserve"> - Übertragen Sie die grau hinterlegten Werte in das ASTeK in Zusatzangaben bei Lohnfortzahlung (OR 324a) ausser Krankheit, Schwangerschaft (ohne Lohnanspruch)
 - Mutterschaftsurlaub muss manuell berechnet werden, siehe Hinweis Zeile 331</t>
  </si>
  <si>
    <t xml:space="preserve"> - Reportez les valeurs inscrites en gris dans l'ASTeK dans le domaine Données complémentaires conc. l'oblig. de payer le salaire (art. 324a) sauf Grosses
 - Le congé maternité doit être calculé manuellement, voir remarque ligne 331</t>
  </si>
  <si>
    <t>Indications: les données ci-dessous peuvent différer entre la logique de l'AI et le décompte de salaire
"OVS" = obligation de versement de salaire en cas d'empêchement du travailleur</t>
  </si>
  <si>
    <t>Hinweise: untenstehende Angaben können gemäss Vorgaben der IV von der Lohnberechnung abweichen
LFP = Lohnfortzahlungspflicht</t>
  </si>
  <si>
    <t>Die Vorgaben von Arbeitsvertrag, OR und IV sind einzuhalten</t>
  </si>
  <si>
    <t>Anpassung Texte zwischen Zeile 148  - 154, sowie A161, A172 + A183</t>
  </si>
  <si>
    <t>neue Texte (wegen LFP Nächte) und Eingabefelder in Zeile 212, 222, 232, 242, 243, sowie 248</t>
  </si>
  <si>
    <t>Art 324a: Arbeitsvertrag, OR, Berner Skala und Taggeldversicherungen sind bei den Eingaben der Nächte mit zu berücksichtigen.</t>
  </si>
  <si>
    <t>OVS (CO 324) : Contrat de travail, CO, échelle bernoise et assurance indemnités journalières doivent être pris en compte lors de la saisie des nuits</t>
  </si>
  <si>
    <t>Les exigences du contrat de travail, CO et AI doivent être respectées</t>
  </si>
  <si>
    <t>Lohnfortzahlung 324</t>
  </si>
  <si>
    <t>Lohnfortzahlung 324a</t>
  </si>
  <si>
    <t xml:space="preserve"> - </t>
  </si>
  <si>
    <t xml:space="preserve"> Anmerkung: ist für Nettolohn und KTG und UVG</t>
  </si>
  <si>
    <t>Anmerkung: ist für Nettolohn, KTG und UVG</t>
  </si>
  <si>
    <t xml:space="preserve"> Die übrigen LFP Berechnungen werden direkt in Tabelle Übertrag geleistet</t>
  </si>
  <si>
    <t>bei Monatslohn nur für die Lohnfortzahlung</t>
  </si>
  <si>
    <t>Salaire mensuel: que pour OVS</t>
  </si>
  <si>
    <t>Zeile 61 auch bei Monatslohn eingeblendet + neu Text in D61</t>
  </si>
  <si>
    <t>A. Metger, 15.1.2022</t>
  </si>
  <si>
    <t>Ausblendung Zeile 32 + 34, wegen Falschberechnung und unwichtig für TN</t>
  </si>
  <si>
    <t>Anpassung Formel in H152, I152 + J152</t>
  </si>
  <si>
    <t>neue Zellen E154 + E155; E155 (mit entsprechender Formel)</t>
  </si>
  <si>
    <t>neue Formeln in CA296-CA298, CF296-CF298, CH296-CH298 + CI296-CI296 (wegen Nächte)</t>
  </si>
  <si>
    <t>gesetzliche Pflichten / Amtsausübung wurde gestrichen (in den Auswahlfeldern 216, 226 + 236)</t>
  </si>
  <si>
    <t>Übrige Kontrollen:
B. Kaltenbach und 
Renate Gäumann</t>
  </si>
  <si>
    <t>Falls ArbeitnehmerIn verhindert (OR Art. 324a) wird die Lohnfortzahlung gemäss Berner Skala berechnet. Bei Nächten wird die Berner Skala nicht berücksichtigt.</t>
  </si>
  <si>
    <t>Au cas où l'employé est empêché (CO Art. 324a) la poursuite du paiement de salaire se fera selon l'échelle bernoise. Au cas des nuits la poursuite du paiement de salaire ne se fera pas selon l'échelle bernoise.</t>
  </si>
  <si>
    <t>zusätzlicher Text bei Zeile 101</t>
  </si>
  <si>
    <t>Text in A379 (*Stundensatz abhängig von…. ;inkl. * in H378) gelöscht da verwirrend; erscheint nicht mehr auf der Lohnabrechnung</t>
  </si>
  <si>
    <t>2023 - V2.10</t>
  </si>
  <si>
    <t>V.2.10</t>
  </si>
  <si>
    <t>Versionsnummer angepasst</t>
  </si>
  <si>
    <t>Neue ABIV Zahlen in S3-S14 eingefügt. Danach die Formel C3-C14 und K10-K14 angeklickt und den Auswahlbereich nach rechts gezogen, sodass die neuen Werte in der Formel erscheinen. Kontrolle: werden bei B Auswahl Nächte die neuen Werte genommen?</t>
  </si>
  <si>
    <t>Nadja Gremlich</t>
  </si>
  <si>
    <t>Die Berechnungen für den Assistenzbeitrag erfolgen mit den Ansätzen per 2023 (Fr. 34.30 für eine Stunde mit Standardqualifikation). Bei Gewährung eines Teuerungsausgleichs wird eine neue Version mit den neuen Ansätzen zur Verfügung gestellt.</t>
  </si>
  <si>
    <t>A partir du 1.1.2023 les calculs pour la contribution d'assistance se font au taux de Fr. 34.30 pour une heure avec qualification standard. Si une compensation au renchérissement est octroyée, une nouvelle version avec le nouveau taux en vigueur vous sera mis à disposition.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</si>
</sst>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CHF&quot;\ * #,##0.00_ ;_ &quot;CHF&quot;\ * \-#,##0.00_ ;_ &quot;CHF&quot;\ * &quot;-&quot;??_ ;_ @_ "/>
    <numFmt numFmtId="43" formatCode="_ * #,##0.00_ ;_ * \-#,##0.00_ ;_ * &quot;-&quot;??_ ;_ @_ "/>
    <numFmt numFmtId="164" formatCode="mmmm\ yyyy"/>
    <numFmt numFmtId="165" formatCode="d/\ mmm/"/>
    <numFmt numFmtId="166" formatCode="mmmm"/>
    <numFmt numFmtId="167" formatCode="0.00&quot; x&quot;"/>
    <numFmt numFmtId="168" formatCode="0&quot; x&quot;"/>
    <numFmt numFmtId="169" formatCode="0.0000%"/>
    <numFmt numFmtId="170" formatCode="0.0"/>
    <numFmt numFmtId="171" formatCode="d/m/yy"/>
    <numFmt numFmtId="172" formatCode="dd/mm/yyyy;@"/>
    <numFmt numFmtId="173" formatCode="#,##0.00_ ;\-#,##0.00\ "/>
    <numFmt numFmtId="174" formatCode="[&gt;0.49]0.00;0.00##%"/>
    <numFmt numFmtId="175" formatCode="0.00##%"/>
    <numFmt numFmtId="176" formatCode="#,##0.00##"/>
    <numFmt numFmtId="177" formatCode="\+#,##0.00;\-#,##0.00"/>
    <numFmt numFmtId="178" formatCode="\+#,##0;\-#,##0"/>
    <numFmt numFmtId="179" formatCode="\+#,##0.0;\-#,##0.0"/>
    <numFmt numFmtId="180" formatCode="#,##0.00;\-\ #,##0.00"/>
    <numFmt numFmtId="181" formatCode="[=0]&quot;&quot;;dd/mm/yyyy"/>
    <numFmt numFmtId="182" formatCode="[&lt;-0.49]\-0.00;[&gt;0.49]0.00;0.00##%"/>
    <numFmt numFmtId="183" formatCode="0.000%"/>
  </numFmts>
  <fonts count="74" x14ac:knownFonts="1">
    <font>
      <sz val="10"/>
      <name val="Arial"/>
    </font>
    <font>
      <sz val="10"/>
      <name val="Arial"/>
      <family val="2"/>
    </font>
    <font>
      <b/>
      <sz val="10"/>
      <name val="Arial"/>
      <family val="2"/>
    </font>
    <font>
      <i/>
      <sz val="10"/>
      <name val="Arial"/>
      <family val="2"/>
    </font>
    <font>
      <sz val="8"/>
      <color indexed="81"/>
      <name val="Tahoma"/>
      <family val="2"/>
    </font>
    <font>
      <b/>
      <sz val="8"/>
      <color indexed="81"/>
      <name val="Tahoma"/>
      <family val="2"/>
    </font>
    <font>
      <sz val="10"/>
      <color indexed="10"/>
      <name val="Arial"/>
      <family val="2"/>
    </font>
    <font>
      <sz val="10"/>
      <name val="Arial"/>
      <family val="2"/>
    </font>
    <font>
      <b/>
      <sz val="12"/>
      <name val="Arial"/>
      <family val="2"/>
    </font>
    <font>
      <sz val="9"/>
      <name val="Arial"/>
      <family val="2"/>
    </font>
    <font>
      <sz val="10"/>
      <color indexed="9"/>
      <name val="Arial"/>
      <family val="2"/>
    </font>
    <font>
      <i/>
      <sz val="8"/>
      <name val="Arial"/>
      <family val="2"/>
    </font>
    <font>
      <sz val="10"/>
      <color indexed="22"/>
      <name val="Arial"/>
      <family val="2"/>
    </font>
    <font>
      <u/>
      <sz val="10"/>
      <color indexed="12"/>
      <name val="Arial"/>
      <family val="2"/>
    </font>
    <font>
      <sz val="8"/>
      <name val="Arial"/>
      <family val="2"/>
    </font>
    <font>
      <sz val="10"/>
      <color indexed="10"/>
      <name val="Arial"/>
      <family val="2"/>
    </font>
    <font>
      <sz val="10"/>
      <color indexed="61"/>
      <name val="Arial"/>
      <family val="2"/>
    </font>
    <font>
      <sz val="5"/>
      <name val="Arial"/>
      <family val="2"/>
    </font>
    <font>
      <sz val="5"/>
      <name val="Arial"/>
      <family val="2"/>
    </font>
    <font>
      <b/>
      <sz val="12"/>
      <name val="Arial"/>
      <family val="2"/>
    </font>
    <font>
      <i/>
      <sz val="10"/>
      <color indexed="45"/>
      <name val="Arial"/>
      <family val="2"/>
    </font>
    <font>
      <sz val="10"/>
      <name val="Arial"/>
      <family val="2"/>
    </font>
    <font>
      <sz val="8"/>
      <name val="Arial"/>
      <family val="2"/>
    </font>
    <font>
      <i/>
      <sz val="10"/>
      <color indexed="22"/>
      <name val="Arial"/>
      <family val="2"/>
    </font>
    <font>
      <i/>
      <sz val="9"/>
      <name val="Arial"/>
      <family val="2"/>
    </font>
    <font>
      <sz val="10"/>
      <color indexed="9"/>
      <name val="Arial"/>
      <family val="2"/>
    </font>
    <font>
      <b/>
      <sz val="10"/>
      <color indexed="22"/>
      <name val="Arial"/>
      <family val="2"/>
    </font>
    <font>
      <sz val="10"/>
      <color indexed="22"/>
      <name val="Arial"/>
      <family val="2"/>
    </font>
    <font>
      <i/>
      <sz val="8"/>
      <color indexed="9"/>
      <name val="Arial"/>
      <family val="2"/>
    </font>
    <font>
      <sz val="12"/>
      <name val="Arial"/>
      <family val="2"/>
    </font>
    <font>
      <b/>
      <sz val="10"/>
      <color indexed="9"/>
      <name val="Arial"/>
      <family val="2"/>
    </font>
    <font>
      <b/>
      <i/>
      <sz val="10"/>
      <name val="Arial"/>
      <family val="2"/>
    </font>
    <font>
      <i/>
      <sz val="10"/>
      <name val="Arial"/>
      <family val="2"/>
    </font>
    <font>
      <sz val="4"/>
      <name val="Arial"/>
      <family val="2"/>
    </font>
    <font>
      <b/>
      <sz val="14"/>
      <name val="Arial"/>
      <family val="2"/>
    </font>
    <font>
      <u/>
      <sz val="10"/>
      <color indexed="12"/>
      <name val="Arial"/>
      <family val="2"/>
    </font>
    <font>
      <b/>
      <sz val="12"/>
      <color indexed="9"/>
      <name val="Arial"/>
      <family val="2"/>
    </font>
    <font>
      <b/>
      <sz val="10"/>
      <color indexed="61"/>
      <name val="Arial"/>
      <family val="2"/>
    </font>
    <font>
      <sz val="10"/>
      <name val="Arial"/>
      <family val="2"/>
    </font>
    <font>
      <i/>
      <sz val="10"/>
      <color indexed="9"/>
      <name val="Arial"/>
      <family val="2"/>
    </font>
    <font>
      <sz val="4"/>
      <color indexed="9"/>
      <name val="Arial"/>
      <family val="2"/>
    </font>
    <font>
      <sz val="5"/>
      <color indexed="9"/>
      <name val="Arial"/>
      <family val="2"/>
    </font>
    <font>
      <i/>
      <u/>
      <sz val="10"/>
      <color indexed="12"/>
      <name val="Arial"/>
      <family val="2"/>
    </font>
    <font>
      <sz val="10"/>
      <color rgb="FFC0C0C0"/>
      <name val="Arial"/>
      <family val="2"/>
    </font>
    <font>
      <b/>
      <sz val="10"/>
      <color rgb="FFC0C0C0"/>
      <name val="Arial"/>
      <family val="2"/>
    </font>
    <font>
      <u/>
      <sz val="10"/>
      <color theme="3"/>
      <name val="Arial"/>
      <family val="2"/>
    </font>
    <font>
      <sz val="10"/>
      <color rgb="FFFF0000"/>
      <name val="Arial"/>
      <family val="2"/>
    </font>
    <font>
      <sz val="11"/>
      <name val="Calibri"/>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sz val="11"/>
      <color indexed="10"/>
      <name val="Calibri"/>
      <family val="2"/>
    </font>
    <font>
      <b/>
      <sz val="11"/>
      <color indexed="9"/>
      <name val="Calibri"/>
      <family val="2"/>
    </font>
    <font>
      <sz val="10"/>
      <color theme="0" tint="-0.34998626667073579"/>
      <name val="Arial"/>
      <family val="2"/>
    </font>
    <font>
      <b/>
      <sz val="10"/>
      <color rgb="FFFF0000"/>
      <name val="Arial"/>
      <family val="2"/>
    </font>
    <font>
      <sz val="11"/>
      <color rgb="FF000000"/>
      <name val="Calibri"/>
      <family val="2"/>
    </font>
    <font>
      <sz val="10"/>
      <color theme="0"/>
      <name val="Arial"/>
      <family val="2"/>
    </font>
    <font>
      <sz val="9.5"/>
      <name val="Arial"/>
      <family val="2"/>
    </font>
    <font>
      <sz val="11"/>
      <name val="Calibri"/>
      <family val="2"/>
      <scheme val="minor"/>
    </font>
    <font>
      <b/>
      <sz val="10"/>
      <color theme="0"/>
      <name val="Arial"/>
      <family val="2"/>
    </font>
    <font>
      <b/>
      <sz val="10"/>
      <color indexed="10"/>
      <name val="Arial"/>
      <family val="2"/>
    </font>
    <font>
      <i/>
      <sz val="10"/>
      <color rgb="FFFF0000"/>
      <name val="Arial"/>
      <family val="2"/>
    </font>
  </fonts>
  <fills count="39">
    <fill>
      <patternFill patternType="none"/>
    </fill>
    <fill>
      <patternFill patternType="gray125"/>
    </fill>
    <fill>
      <patternFill patternType="solid">
        <fgColor indexed="42"/>
        <bgColor indexed="64"/>
      </patternFill>
    </fill>
    <fill>
      <patternFill patternType="solid">
        <fgColor indexed="46"/>
        <bgColor indexed="64"/>
      </patternFill>
    </fill>
    <fill>
      <patternFill patternType="solid">
        <fgColor indexed="61"/>
        <bgColor indexed="64"/>
      </patternFill>
    </fill>
    <fill>
      <patternFill patternType="solid">
        <fgColor indexed="43"/>
        <bgColor indexed="64"/>
      </patternFill>
    </fill>
    <fill>
      <patternFill patternType="solid">
        <fgColor indexed="42"/>
        <bgColor indexed="27"/>
      </patternFill>
    </fill>
    <fill>
      <patternFill patternType="solid">
        <fgColor indexed="41"/>
        <bgColor indexed="64"/>
      </patternFill>
    </fill>
    <fill>
      <patternFill patternType="solid">
        <fgColor indexed="43"/>
        <bgColor indexed="34"/>
      </patternFill>
    </fill>
    <fill>
      <patternFill patternType="solid">
        <fgColor indexed="45"/>
        <bgColor indexed="64"/>
      </patternFill>
    </fill>
    <fill>
      <patternFill patternType="solid">
        <fgColor indexed="22"/>
        <bgColor indexed="64"/>
      </patternFill>
    </fill>
    <fill>
      <patternFill patternType="darkUp">
        <fgColor indexed="46"/>
        <bgColor indexed="37"/>
      </patternFill>
    </fill>
    <fill>
      <patternFill patternType="solid">
        <fgColor indexed="21"/>
        <bgColor indexed="64"/>
      </patternFill>
    </fill>
    <fill>
      <patternFill patternType="solid">
        <fgColor indexed="48"/>
        <bgColor indexed="64"/>
      </patternFill>
    </fill>
    <fill>
      <patternFill patternType="solid">
        <fgColor indexed="1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C0C0C0"/>
        <bgColor indexed="64"/>
      </patternFill>
    </fill>
    <fill>
      <patternFill patternType="solid">
        <fgColor rgb="FFCCFFCC"/>
        <bgColor indexed="64"/>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42"/>
      </patternFill>
    </fill>
    <fill>
      <patternFill patternType="solid">
        <fgColor indexed="45"/>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1"/>
        <bgColor indexed="64"/>
      </patternFill>
    </fill>
  </fills>
  <borders count="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top style="thin">
        <color indexed="8"/>
      </top>
      <bottom style="thin">
        <color indexed="8"/>
      </bottom>
      <diagonal/>
    </border>
    <border>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8"/>
      </bottom>
      <diagonal/>
    </border>
    <border>
      <left style="thick">
        <color indexed="9"/>
      </left>
      <right/>
      <top/>
      <bottom/>
      <diagonal/>
    </border>
    <border>
      <left/>
      <right style="thick">
        <color indexed="9"/>
      </right>
      <top/>
      <bottom/>
      <diagonal/>
    </border>
    <border>
      <left/>
      <right/>
      <top/>
      <bottom style="hair">
        <color indexed="64"/>
      </bottom>
      <diagonal/>
    </border>
    <border>
      <left/>
      <right style="thick">
        <color indexed="9"/>
      </right>
      <top style="thin">
        <color indexed="8"/>
      </top>
      <bottom style="thin">
        <color indexed="8"/>
      </bottom>
      <diagonal/>
    </border>
    <border>
      <left/>
      <right style="thick">
        <color indexed="9"/>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ck">
        <color indexed="9"/>
      </left>
      <right/>
      <top style="thin">
        <color indexed="64"/>
      </top>
      <bottom style="thin">
        <color indexed="64"/>
      </bottom>
      <diagonal/>
    </border>
    <border>
      <left style="thin">
        <color indexed="64"/>
      </left>
      <right style="thin">
        <color indexed="64"/>
      </right>
      <top style="thin">
        <color indexed="64"/>
      </top>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9"/>
      </left>
      <right style="medium">
        <color indexed="9"/>
      </right>
      <top/>
      <bottom style="medium">
        <color indexed="9"/>
      </bottom>
      <diagonal/>
    </border>
    <border>
      <left/>
      <right/>
      <top style="medium">
        <color indexed="9"/>
      </top>
      <bottom style="medium">
        <color indexed="9"/>
      </bottom>
      <diagonal/>
    </border>
    <border>
      <left style="medium">
        <color indexed="9"/>
      </left>
      <right/>
      <top style="medium">
        <color indexed="9"/>
      </top>
      <bottom style="medium">
        <color indexed="9"/>
      </bottom>
      <diagonal/>
    </border>
    <border>
      <left style="thick">
        <color indexed="9"/>
      </left>
      <right/>
      <top style="thin">
        <color indexed="8"/>
      </top>
      <bottom style="thin">
        <color indexed="8"/>
      </bottom>
      <diagonal/>
    </border>
    <border>
      <left style="thin">
        <color indexed="64"/>
      </left>
      <right style="thin">
        <color indexed="64"/>
      </right>
      <top style="thin">
        <color indexed="64"/>
      </top>
      <bottom style="medium">
        <color indexed="9"/>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medium">
        <color indexed="22"/>
      </top>
      <bottom style="medium">
        <color indexed="22"/>
      </bottom>
      <diagonal/>
    </border>
    <border>
      <left/>
      <right style="thick">
        <color indexed="9"/>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hair">
        <color indexed="64"/>
      </top>
      <bottom style="hair">
        <color indexed="64"/>
      </bottom>
      <diagonal/>
    </border>
    <border>
      <left/>
      <right style="medium">
        <color indexed="9"/>
      </right>
      <top/>
      <bottom/>
      <diagonal/>
    </border>
    <border>
      <left style="thick">
        <color indexed="9"/>
      </left>
      <right/>
      <top style="hair">
        <color auto="1"/>
      </top>
      <bottom style="hair">
        <color auto="1"/>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medium">
        <color indexed="9"/>
      </left>
      <right/>
      <top style="medium">
        <color indexed="9"/>
      </top>
      <bottom/>
      <diagonal/>
    </border>
    <border>
      <left/>
      <right/>
      <top style="medium">
        <color indexed="9"/>
      </top>
      <bottom/>
      <diagonal/>
    </border>
    <border>
      <left/>
      <right/>
      <top style="thin">
        <color indexed="8"/>
      </top>
      <bottom/>
      <diagonal/>
    </border>
    <border>
      <left/>
      <right/>
      <top style="thin">
        <color auto="1"/>
      </top>
      <bottom style="thin">
        <color auto="1"/>
      </bottom>
      <diagonal/>
    </border>
    <border>
      <left/>
      <right/>
      <top style="hair">
        <color indexed="8"/>
      </top>
      <bottom style="hair">
        <color indexed="8"/>
      </bottom>
      <diagonal/>
    </border>
    <border>
      <left/>
      <right/>
      <top style="hair">
        <color indexed="64"/>
      </top>
      <bottom style="hair">
        <color indexed="64"/>
      </bottom>
      <diagonal/>
    </border>
    <border>
      <left style="thin">
        <color indexed="64"/>
      </left>
      <right/>
      <top style="thin">
        <color auto="1"/>
      </top>
      <bottom style="thin">
        <color auto="1"/>
      </bottom>
      <diagonal/>
    </border>
    <border>
      <left/>
      <right/>
      <top style="hair">
        <color indexed="64"/>
      </top>
      <bottom/>
      <diagonal/>
    </border>
    <border>
      <left/>
      <right style="thick">
        <color indexed="9"/>
      </right>
      <top style="hair">
        <color indexed="64"/>
      </top>
      <bottom style="hair">
        <color indexed="64"/>
      </bottom>
      <diagonal/>
    </border>
    <border>
      <left style="thick">
        <color indexed="9"/>
      </left>
      <right/>
      <top style="thin">
        <color indexed="64"/>
      </top>
      <bottom style="thin">
        <color indexed="8"/>
      </bottom>
      <diagonal/>
    </border>
    <border>
      <left style="thick">
        <color indexed="9"/>
      </left>
      <right/>
      <top style="thin">
        <color indexed="8"/>
      </top>
      <bottom style="thin">
        <color indexed="64"/>
      </bottom>
      <diagonal/>
    </border>
    <border>
      <left style="thick">
        <color indexed="9"/>
      </left>
      <right/>
      <top style="hair">
        <color auto="1"/>
      </top>
      <bottom style="thick">
        <color indexed="9"/>
      </bottom>
      <diagonal/>
    </border>
    <border>
      <left style="thick">
        <color indexed="9"/>
      </left>
      <right/>
      <top style="thick">
        <color indexed="9"/>
      </top>
      <bottom style="thick">
        <color indexed="9"/>
      </bottom>
      <diagonal/>
    </border>
    <border>
      <left/>
      <right/>
      <top style="thin">
        <color indexed="64"/>
      </top>
      <bottom/>
      <diagonal/>
    </border>
    <border>
      <left style="medium">
        <color auto="1"/>
      </left>
      <right/>
      <top style="medium">
        <color indexed="9"/>
      </top>
      <bottom style="thin">
        <color indexed="64"/>
      </bottom>
      <diagonal/>
    </border>
    <border>
      <left style="medium">
        <color indexed="64"/>
      </left>
      <right style="thin">
        <color indexed="64"/>
      </right>
      <top style="thin">
        <color indexed="64"/>
      </top>
      <bottom style="medium">
        <color indexed="9"/>
      </bottom>
      <diagonal/>
    </border>
    <border>
      <left style="thin">
        <color indexed="64"/>
      </left>
      <right/>
      <top style="thin">
        <color indexed="64"/>
      </top>
      <bottom style="medium">
        <color indexed="9"/>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60">
    <xf numFmtId="0" fontId="0" fillId="0" borderId="0"/>
    <xf numFmtId="43" fontId="1" fillId="0" borderId="0" applyFont="0" applyFill="0" applyBorder="0" applyAlignment="0" applyProtection="0"/>
    <xf numFmtId="0" fontId="13" fillId="0" borderId="0" applyNumberFormat="0" applyFill="0" applyBorder="0" applyAlignment="0" applyProtection="0">
      <alignment vertical="top"/>
      <protection locked="0"/>
    </xf>
    <xf numFmtId="9" fontId="1" fillId="0" borderId="0" applyFont="0" applyFill="0" applyBorder="0" applyAlignment="0" applyProtection="0"/>
    <xf numFmtId="9" fontId="7" fillId="0" borderId="0" applyFont="0" applyFill="0" applyBorder="0" applyAlignment="0" applyProtection="0"/>
    <xf numFmtId="0" fontId="7" fillId="0"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8" fillId="20" borderId="0" applyNumberFormat="0" applyBorder="0" applyAlignment="0" applyProtection="0"/>
    <xf numFmtId="0" fontId="48" fillId="19"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19"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9" fillId="26"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7" borderId="0" applyNumberFormat="0" applyBorder="0" applyAlignment="0" applyProtection="0"/>
    <xf numFmtId="0" fontId="49" fillId="26" borderId="0" applyNumberFormat="0" applyBorder="0" applyAlignment="0" applyProtection="0"/>
    <xf numFmtId="0" fontId="49" fillId="20" borderId="0" applyNumberFormat="0" applyBorder="0" applyAlignment="0" applyProtection="0"/>
    <xf numFmtId="0" fontId="49" fillId="26"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6" borderId="0" applyNumberFormat="0" applyBorder="0" applyAlignment="0" applyProtection="0"/>
    <xf numFmtId="0" fontId="49" fillId="31" borderId="0" applyNumberFormat="0" applyBorder="0" applyAlignment="0" applyProtection="0"/>
    <xf numFmtId="0" fontId="50" fillId="32" borderId="51" applyNumberFormat="0" applyAlignment="0" applyProtection="0"/>
    <xf numFmtId="0" fontId="51" fillId="32" borderId="52" applyNumberFormat="0" applyAlignment="0" applyProtection="0"/>
    <xf numFmtId="43" fontId="1" fillId="0" borderId="0" applyFont="0" applyFill="0" applyBorder="0" applyAlignment="0" applyProtection="0"/>
    <xf numFmtId="0" fontId="52" fillId="20" borderId="52" applyNumberFormat="0" applyAlignment="0" applyProtection="0"/>
    <xf numFmtId="0" fontId="53" fillId="0" borderId="53" applyNumberFormat="0" applyFill="0" applyAlignment="0" applyProtection="0"/>
    <xf numFmtId="0" fontId="54" fillId="0" borderId="0" applyNumberFormat="0" applyFill="0" applyBorder="0" applyAlignment="0" applyProtection="0"/>
    <xf numFmtId="0" fontId="55" fillId="33" borderId="0" applyNumberFormat="0" applyBorder="0" applyAlignment="0" applyProtection="0"/>
    <xf numFmtId="0" fontId="56" fillId="24" borderId="0" applyNumberFormat="0" applyBorder="0" applyAlignment="0" applyProtection="0"/>
    <xf numFmtId="0" fontId="1" fillId="21" borderId="54" applyNumberFormat="0" applyFont="0" applyAlignment="0" applyProtection="0"/>
    <xf numFmtId="9" fontId="1" fillId="0" borderId="0" applyFont="0" applyFill="0" applyBorder="0" applyAlignment="0" applyProtection="0"/>
    <xf numFmtId="0" fontId="57" fillId="34" borderId="0" applyNumberFormat="0" applyBorder="0" applyAlignment="0" applyProtection="0"/>
    <xf numFmtId="0" fontId="1" fillId="0" borderId="0"/>
    <xf numFmtId="0" fontId="58" fillId="0" borderId="0" applyNumberFormat="0" applyFill="0" applyBorder="0" applyAlignment="0" applyProtection="0"/>
    <xf numFmtId="0" fontId="59" fillId="0" borderId="55" applyNumberFormat="0" applyFill="0" applyAlignment="0" applyProtection="0"/>
    <xf numFmtId="0" fontId="60" fillId="0" borderId="56" applyNumberFormat="0" applyFill="0" applyAlignment="0" applyProtection="0"/>
    <xf numFmtId="0" fontId="61" fillId="0" borderId="57" applyNumberFormat="0" applyFill="0" applyAlignment="0" applyProtection="0"/>
    <xf numFmtId="0" fontId="61" fillId="0" borderId="0" applyNumberFormat="0" applyFill="0" applyBorder="0" applyAlignment="0" applyProtection="0"/>
    <xf numFmtId="0" fontId="62" fillId="0" borderId="58" applyNumberFormat="0" applyFill="0" applyAlignment="0" applyProtection="0"/>
    <xf numFmtId="0" fontId="63" fillId="0" borderId="0" applyNumberFormat="0" applyFill="0" applyBorder="0" applyAlignment="0" applyProtection="0"/>
    <xf numFmtId="0" fontId="64" fillId="27" borderId="59" applyNumberFormat="0" applyAlignment="0" applyProtection="0"/>
    <xf numFmtId="44" fontId="1" fillId="0" borderId="0" applyFont="0" applyFill="0" applyBorder="0" applyAlignment="0" applyProtection="0"/>
    <xf numFmtId="0" fontId="1" fillId="0" borderId="0"/>
    <xf numFmtId="0" fontId="50" fillId="32" borderId="60" applyNumberFormat="0" applyAlignment="0" applyProtection="0"/>
    <xf numFmtId="0" fontId="51" fillId="32" borderId="61" applyNumberFormat="0" applyAlignment="0" applyProtection="0"/>
    <xf numFmtId="43" fontId="1" fillId="0" borderId="0" applyFont="0" applyFill="0" applyBorder="0" applyAlignment="0" applyProtection="0"/>
    <xf numFmtId="0" fontId="52" fillId="20" borderId="61" applyNumberFormat="0" applyAlignment="0" applyProtection="0"/>
    <xf numFmtId="0" fontId="53" fillId="0" borderId="62" applyNumberFormat="0" applyFill="0" applyAlignment="0" applyProtection="0"/>
    <xf numFmtId="0" fontId="1" fillId="21" borderId="63" applyNumberFormat="0" applyFont="0" applyAlignment="0" applyProtection="0"/>
    <xf numFmtId="9" fontId="1" fillId="0" borderId="0" applyFont="0" applyFill="0" applyBorder="0" applyAlignment="0" applyProtection="0"/>
    <xf numFmtId="0" fontId="1" fillId="0" borderId="0"/>
  </cellStyleXfs>
  <cellXfs count="1015">
    <xf numFmtId="0" fontId="0" fillId="0" borderId="0" xfId="0"/>
    <xf numFmtId="0" fontId="0" fillId="0" borderId="0" xfId="0" applyProtection="1">
      <protection hidden="1"/>
    </xf>
    <xf numFmtId="0" fontId="0" fillId="0" borderId="0" xfId="0" applyAlignment="1" applyProtection="1">
      <alignment horizontal="right"/>
      <protection hidden="1"/>
    </xf>
    <xf numFmtId="0" fontId="2" fillId="0" borderId="0" xfId="0" applyFont="1" applyProtection="1">
      <protection hidden="1"/>
    </xf>
    <xf numFmtId="0" fontId="0" fillId="0" borderId="1" xfId="0" applyBorder="1" applyProtection="1">
      <protection hidden="1"/>
    </xf>
    <xf numFmtId="0" fontId="0" fillId="0" borderId="2" xfId="0" applyBorder="1" applyProtection="1">
      <protection hidden="1"/>
    </xf>
    <xf numFmtId="0" fontId="0" fillId="0" borderId="3" xfId="0" applyBorder="1" applyProtection="1">
      <protection hidden="1"/>
    </xf>
    <xf numFmtId="0" fontId="3" fillId="0" borderId="0" xfId="0" applyFont="1" applyProtection="1">
      <protection hidden="1"/>
    </xf>
    <xf numFmtId="0" fontId="7" fillId="0" borderId="0" xfId="0" applyFont="1" applyProtection="1">
      <protection hidden="1"/>
    </xf>
    <xf numFmtId="0" fontId="0" fillId="0" borderId="4" xfId="0" applyBorder="1" applyProtection="1">
      <protection hidden="1"/>
    </xf>
    <xf numFmtId="0" fontId="0" fillId="0" borderId="5" xfId="0" applyBorder="1" applyProtection="1">
      <protection hidden="1"/>
    </xf>
    <xf numFmtId="0" fontId="0" fillId="0" borderId="6" xfId="0" applyBorder="1" applyProtection="1">
      <protection hidden="1"/>
    </xf>
    <xf numFmtId="0" fontId="0" fillId="0" borderId="7" xfId="0" applyBorder="1" applyProtection="1">
      <protection hidden="1"/>
    </xf>
    <xf numFmtId="0" fontId="0" fillId="0" borderId="8" xfId="0" applyBorder="1" applyProtection="1">
      <protection hidden="1"/>
    </xf>
    <xf numFmtId="9" fontId="0" fillId="0" borderId="4" xfId="3" applyFont="1" applyFill="1" applyBorder="1" applyProtection="1">
      <protection hidden="1"/>
    </xf>
    <xf numFmtId="170" fontId="0" fillId="0" borderId="4" xfId="0" applyNumberFormat="1" applyBorder="1" applyProtection="1">
      <protection hidden="1"/>
    </xf>
    <xf numFmtId="1" fontId="0" fillId="0" borderId="0" xfId="0" applyNumberFormat="1" applyProtection="1">
      <protection hidden="1"/>
    </xf>
    <xf numFmtId="0" fontId="0" fillId="0" borderId="10" xfId="0" applyBorder="1" applyProtection="1">
      <protection hidden="1"/>
    </xf>
    <xf numFmtId="0" fontId="7" fillId="0" borderId="11" xfId="0" applyFont="1" applyBorder="1"/>
    <xf numFmtId="0" fontId="7" fillId="0" borderId="12" xfId="0" applyFont="1" applyBorder="1"/>
    <xf numFmtId="0" fontId="0" fillId="0" borderId="1" xfId="0" applyBorder="1"/>
    <xf numFmtId="0" fontId="0" fillId="0" borderId="3"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0" xfId="0" applyBorder="1"/>
    <xf numFmtId="0" fontId="0" fillId="0" borderId="12" xfId="0" applyBorder="1"/>
    <xf numFmtId="0" fontId="0" fillId="0" borderId="11" xfId="0" applyBorder="1" applyProtection="1">
      <protection hidden="1"/>
    </xf>
    <xf numFmtId="0" fontId="0" fillId="0" borderId="12" xfId="0" applyBorder="1" applyProtection="1">
      <protection hidden="1"/>
    </xf>
    <xf numFmtId="14" fontId="0" fillId="0" borderId="4" xfId="0" applyNumberFormat="1" applyBorder="1"/>
    <xf numFmtId="0" fontId="0" fillId="2" borderId="4" xfId="0" applyFill="1" applyBorder="1" applyProtection="1">
      <protection hidden="1"/>
    </xf>
    <xf numFmtId="0" fontId="0" fillId="0" borderId="4" xfId="0" applyBorder="1" applyAlignment="1" applyProtection="1">
      <alignment horizontal="right"/>
      <protection hidden="1"/>
    </xf>
    <xf numFmtId="2" fontId="0" fillId="0" borderId="4" xfId="0" applyNumberFormat="1" applyBorder="1" applyProtection="1">
      <protection hidden="1"/>
    </xf>
    <xf numFmtId="0" fontId="0" fillId="0" borderId="2" xfId="0" applyBorder="1"/>
    <xf numFmtId="0" fontId="0" fillId="2" borderId="4" xfId="0" applyFill="1" applyBorder="1" applyAlignment="1" applyProtection="1">
      <alignment horizontal="right"/>
      <protection hidden="1"/>
    </xf>
    <xf numFmtId="10" fontId="0" fillId="2" borderId="4" xfId="3" applyNumberFormat="1" applyFont="1" applyFill="1" applyBorder="1" applyProtection="1">
      <protection hidden="1"/>
    </xf>
    <xf numFmtId="10" fontId="0" fillId="2" borderId="4" xfId="0" applyNumberFormat="1" applyFill="1" applyBorder="1" applyAlignment="1">
      <alignment horizontal="right"/>
    </xf>
    <xf numFmtId="0" fontId="0" fillId="0" borderId="13" xfId="0" applyBorder="1" applyAlignment="1" applyProtection="1">
      <alignment horizontal="left" vertical="top"/>
      <protection hidden="1"/>
    </xf>
    <xf numFmtId="0" fontId="11" fillId="0" borderId="13" xfId="0" applyFont="1" applyBorder="1" applyAlignment="1" applyProtection="1">
      <alignment horizontal="left" vertical="top" wrapText="1"/>
      <protection hidden="1"/>
    </xf>
    <xf numFmtId="9" fontId="0" fillId="2" borderId="4" xfId="3" applyFont="1" applyFill="1" applyBorder="1" applyProtection="1">
      <protection hidden="1"/>
    </xf>
    <xf numFmtId="0" fontId="6" fillId="0" borderId="0" xfId="0" applyFont="1" applyProtection="1">
      <protection hidden="1"/>
    </xf>
    <xf numFmtId="9" fontId="0" fillId="0" borderId="4" xfId="3" applyFont="1" applyBorder="1" applyAlignment="1" applyProtection="1">
      <alignment horizontal="right"/>
      <protection hidden="1"/>
    </xf>
    <xf numFmtId="2" fontId="0" fillId="0" borderId="4" xfId="0" applyNumberFormat="1" applyBorder="1" applyAlignment="1" applyProtection="1">
      <alignment horizontal="right"/>
      <protection hidden="1"/>
    </xf>
    <xf numFmtId="17" fontId="0" fillId="0" borderId="0" xfId="0" applyNumberFormat="1" applyAlignment="1" applyProtection="1">
      <alignment horizontal="right"/>
      <protection hidden="1"/>
    </xf>
    <xf numFmtId="2" fontId="0" fillId="3" borderId="4" xfId="0" applyNumberFormat="1" applyFill="1" applyBorder="1" applyAlignment="1" applyProtection="1">
      <alignment horizontal="right"/>
      <protection hidden="1"/>
    </xf>
    <xf numFmtId="1" fontId="0" fillId="0" borderId="4" xfId="0" applyNumberFormat="1" applyBorder="1" applyProtection="1">
      <protection hidden="1"/>
    </xf>
    <xf numFmtId="14" fontId="0" fillId="0" borderId="0" xfId="0" applyNumberFormat="1" applyProtection="1">
      <protection hidden="1"/>
    </xf>
    <xf numFmtId="171" fontId="0" fillId="0" borderId="0" xfId="0" applyNumberFormat="1" applyProtection="1">
      <protection hidden="1"/>
    </xf>
    <xf numFmtId="0" fontId="7" fillId="0" borderId="0" xfId="0" applyFont="1" applyAlignment="1" applyProtection="1">
      <alignment horizontal="right"/>
      <protection hidden="1"/>
    </xf>
    <xf numFmtId="4" fontId="0" fillId="2" borderId="4" xfId="0" applyNumberFormat="1" applyFill="1" applyBorder="1" applyProtection="1">
      <protection hidden="1"/>
    </xf>
    <xf numFmtId="1" fontId="10" fillId="4" borderId="0" xfId="0" applyNumberFormat="1" applyFont="1" applyFill="1" applyProtection="1">
      <protection hidden="1"/>
    </xf>
    <xf numFmtId="4" fontId="0" fillId="0" borderId="4" xfId="0" applyNumberFormat="1" applyBorder="1" applyProtection="1">
      <protection hidden="1"/>
    </xf>
    <xf numFmtId="4" fontId="0" fillId="3" borderId="4" xfId="0" applyNumberFormat="1" applyFill="1" applyBorder="1" applyProtection="1">
      <protection hidden="1"/>
    </xf>
    <xf numFmtId="0" fontId="0" fillId="0" borderId="0" xfId="0" applyAlignment="1" applyProtection="1">
      <alignment vertical="top"/>
      <protection hidden="1"/>
    </xf>
    <xf numFmtId="0" fontId="12" fillId="0" borderId="0" xfId="0" applyFont="1" applyAlignment="1" applyProtection="1">
      <alignment vertical="top"/>
      <protection hidden="1"/>
    </xf>
    <xf numFmtId="0" fontId="0" fillId="0" borderId="14" xfId="0" applyBorder="1" applyAlignment="1" applyProtection="1">
      <alignment vertical="top"/>
      <protection hidden="1"/>
    </xf>
    <xf numFmtId="0" fontId="0" fillId="2" borderId="0" xfId="0" applyFill="1" applyAlignment="1" applyProtection="1">
      <alignment vertical="top"/>
      <protection hidden="1"/>
    </xf>
    <xf numFmtId="0" fontId="14" fillId="0" borderId="0" xfId="0" applyFont="1" applyAlignment="1" applyProtection="1">
      <alignment horizontal="right" vertical="top"/>
      <protection hidden="1"/>
    </xf>
    <xf numFmtId="0" fontId="15" fillId="0" borderId="0" xfId="0" applyFont="1" applyProtection="1">
      <protection hidden="1"/>
    </xf>
    <xf numFmtId="0" fontId="15" fillId="0" borderId="0" xfId="0" applyFont="1" applyAlignment="1" applyProtection="1">
      <alignment vertical="top"/>
      <protection hidden="1"/>
    </xf>
    <xf numFmtId="0" fontId="0" fillId="0" borderId="0" xfId="0" applyAlignment="1" applyProtection="1">
      <alignment vertical="top" wrapText="1"/>
      <protection hidden="1"/>
    </xf>
    <xf numFmtId="0" fontId="7" fillId="0" borderId="0" xfId="0" applyFont="1" applyAlignment="1" applyProtection="1">
      <alignment vertical="top"/>
      <protection hidden="1"/>
    </xf>
    <xf numFmtId="0" fontId="3" fillId="0" borderId="0" xfId="0" applyFont="1" applyAlignment="1" applyProtection="1">
      <alignment vertical="top"/>
      <protection hidden="1"/>
    </xf>
    <xf numFmtId="0" fontId="3" fillId="0" borderId="0" xfId="0" applyFont="1" applyAlignment="1" applyProtection="1">
      <alignment vertical="top" wrapText="1"/>
      <protection hidden="1"/>
    </xf>
    <xf numFmtId="0" fontId="2" fillId="0" borderId="0" xfId="0" applyFont="1" applyAlignment="1" applyProtection="1">
      <alignment vertical="top"/>
      <protection hidden="1"/>
    </xf>
    <xf numFmtId="0" fontId="0" fillId="0" borderId="0" xfId="0" applyAlignment="1">
      <alignment horizontal="left" vertical="top"/>
    </xf>
    <xf numFmtId="0" fontId="0" fillId="6" borderId="15" xfId="0" applyFill="1" applyBorder="1" applyAlignment="1" applyProtection="1">
      <alignment horizontal="left" vertical="top"/>
      <protection locked="0"/>
    </xf>
    <xf numFmtId="14" fontId="0" fillId="0" borderId="0" xfId="0" applyNumberFormat="1" applyAlignment="1" applyProtection="1">
      <alignment vertical="top"/>
      <protection hidden="1"/>
    </xf>
    <xf numFmtId="14" fontId="0" fillId="0" borderId="0" xfId="0" applyNumberFormat="1" applyAlignment="1" applyProtection="1">
      <alignment horizontal="left" vertical="top"/>
      <protection hidden="1"/>
    </xf>
    <xf numFmtId="0" fontId="0" fillId="0" borderId="14" xfId="0" applyBorder="1" applyAlignment="1">
      <alignment horizontal="left" vertical="top"/>
    </xf>
    <xf numFmtId="0" fontId="0" fillId="0" borderId="14" xfId="0" applyBorder="1" applyAlignment="1" applyProtection="1">
      <alignment vertical="top" wrapText="1"/>
      <protection hidden="1"/>
    </xf>
    <xf numFmtId="0" fontId="3" fillId="0" borderId="14" xfId="0" applyFont="1" applyBorder="1" applyAlignment="1" applyProtection="1">
      <alignment vertical="top" wrapText="1"/>
      <protection hidden="1"/>
    </xf>
    <xf numFmtId="0" fontId="3" fillId="0" borderId="14" xfId="0" applyFont="1" applyBorder="1" applyAlignment="1">
      <alignment horizontal="left" vertical="top" wrapText="1"/>
    </xf>
    <xf numFmtId="0" fontId="2" fillId="7" borderId="0" xfId="0" applyFont="1" applyFill="1" applyAlignment="1" applyProtection="1">
      <alignment vertical="top"/>
      <protection hidden="1"/>
    </xf>
    <xf numFmtId="0" fontId="0" fillId="7" borderId="0" xfId="0" applyFill="1" applyAlignment="1" applyProtection="1">
      <alignment vertical="top" wrapText="1"/>
      <protection hidden="1"/>
    </xf>
    <xf numFmtId="0" fontId="0" fillId="7" borderId="0" xfId="0" applyFill="1" applyAlignment="1" applyProtection="1">
      <alignment vertical="top"/>
      <protection hidden="1"/>
    </xf>
    <xf numFmtId="0" fontId="0" fillId="0" borderId="16" xfId="0" applyBorder="1" applyAlignment="1">
      <alignment horizontal="left" vertical="top"/>
    </xf>
    <xf numFmtId="14" fontId="0" fillId="0" borderId="3" xfId="0" applyNumberFormat="1" applyBorder="1" applyProtection="1">
      <protection hidden="1"/>
    </xf>
    <xf numFmtId="0" fontId="7" fillId="0" borderId="17" xfId="0" applyFont="1" applyBorder="1"/>
    <xf numFmtId="0" fontId="0" fillId="0" borderId="14" xfId="0" applyBorder="1" applyAlignment="1" applyProtection="1">
      <alignment horizontal="left" vertical="top" wrapText="1" indent="1"/>
      <protection hidden="1"/>
    </xf>
    <xf numFmtId="0" fontId="0" fillId="6" borderId="19" xfId="0" applyFill="1" applyBorder="1" applyAlignment="1" applyProtection="1">
      <alignment horizontal="left" vertical="top"/>
      <protection locked="0"/>
    </xf>
    <xf numFmtId="0" fontId="0" fillId="8" borderId="18" xfId="0" applyFill="1" applyBorder="1" applyAlignment="1" applyProtection="1">
      <alignment horizontal="left" vertical="top"/>
      <protection locked="0"/>
    </xf>
    <xf numFmtId="0" fontId="0" fillId="0" borderId="0" xfId="0" applyAlignment="1" applyProtection="1">
      <alignment horizontal="left" vertical="top"/>
      <protection hidden="1"/>
    </xf>
    <xf numFmtId="0" fontId="17" fillId="0" borderId="0" xfId="0" applyFont="1" applyAlignment="1" applyProtection="1">
      <alignment vertical="top" wrapText="1"/>
      <protection hidden="1"/>
    </xf>
    <xf numFmtId="0" fontId="17" fillId="0" borderId="0" xfId="0" applyFont="1" applyAlignment="1" applyProtection="1">
      <alignment vertical="top"/>
      <protection hidden="1"/>
    </xf>
    <xf numFmtId="0" fontId="1" fillId="0" borderId="0" xfId="0" applyFont="1" applyAlignment="1" applyProtection="1">
      <alignment vertical="top"/>
      <protection hidden="1"/>
    </xf>
    <xf numFmtId="0" fontId="18" fillId="0" borderId="0" xfId="0" applyFont="1" applyAlignment="1" applyProtection="1">
      <alignment vertical="top" wrapText="1"/>
      <protection hidden="1"/>
    </xf>
    <xf numFmtId="0" fontId="18" fillId="0" borderId="0" xfId="0" applyFont="1" applyAlignment="1" applyProtection="1">
      <alignment vertical="top"/>
      <protection hidden="1"/>
    </xf>
    <xf numFmtId="0" fontId="7" fillId="0" borderId="0" xfId="2" applyFont="1" applyBorder="1" applyAlignment="1" applyProtection="1">
      <alignment vertical="top"/>
      <protection hidden="1"/>
    </xf>
    <xf numFmtId="0" fontId="0" fillId="0" borderId="20" xfId="0" applyBorder="1" applyAlignment="1" applyProtection="1">
      <alignment vertical="top"/>
      <protection hidden="1"/>
    </xf>
    <xf numFmtId="0" fontId="3" fillId="0" borderId="14" xfId="0" applyFont="1" applyBorder="1" applyAlignment="1" applyProtection="1">
      <alignment vertical="top"/>
      <protection hidden="1"/>
    </xf>
    <xf numFmtId="0" fontId="0" fillId="0" borderId="14" xfId="0" applyBorder="1" applyAlignment="1" applyProtection="1">
      <alignment horizontal="left" vertical="top" wrapText="1"/>
      <protection hidden="1"/>
    </xf>
    <xf numFmtId="0" fontId="14" fillId="0" borderId="0" xfId="0" applyFont="1" applyAlignment="1" applyProtection="1">
      <alignment horizontal="right" vertical="top" wrapText="1"/>
      <protection hidden="1"/>
    </xf>
    <xf numFmtId="0" fontId="0" fillId="0" borderId="21" xfId="0" applyBorder="1" applyAlignment="1" applyProtection="1">
      <alignment vertical="top"/>
      <protection hidden="1"/>
    </xf>
    <xf numFmtId="0" fontId="1" fillId="0" borderId="0" xfId="0" applyFont="1" applyProtection="1">
      <protection hidden="1"/>
    </xf>
    <xf numFmtId="0" fontId="19" fillId="2" borderId="18" xfId="0" applyFont="1" applyFill="1" applyBorder="1" applyAlignment="1" applyProtection="1">
      <alignment horizontal="center" vertical="center"/>
      <protection locked="0"/>
    </xf>
    <xf numFmtId="0" fontId="0" fillId="7" borderId="22" xfId="0" applyFill="1" applyBorder="1" applyAlignment="1" applyProtection="1">
      <alignment vertical="top"/>
      <protection hidden="1"/>
    </xf>
    <xf numFmtId="2" fontId="0" fillId="5" borderId="18" xfId="0" applyNumberFormat="1" applyFill="1" applyBorder="1" applyAlignment="1" applyProtection="1">
      <alignment horizontal="left" vertical="top"/>
      <protection locked="0"/>
    </xf>
    <xf numFmtId="14" fontId="0" fillId="5" borderId="9" xfId="0" applyNumberFormat="1" applyFill="1" applyBorder="1" applyAlignment="1" applyProtection="1">
      <alignment horizontal="left" vertical="top"/>
      <protection locked="0"/>
    </xf>
    <xf numFmtId="14" fontId="0" fillId="2" borderId="19" xfId="0" applyNumberFormat="1" applyFill="1" applyBorder="1" applyAlignment="1" applyProtection="1">
      <alignment horizontal="left" vertical="top"/>
      <protection locked="0"/>
    </xf>
    <xf numFmtId="0" fontId="0" fillId="2" borderId="0" xfId="0" applyFill="1" applyAlignment="1" applyProtection="1">
      <alignment horizontal="left" vertical="top"/>
      <protection locked="0"/>
    </xf>
    <xf numFmtId="9" fontId="0" fillId="0" borderId="4" xfId="3" applyFont="1" applyFill="1" applyBorder="1" applyAlignment="1" applyProtection="1">
      <alignment horizontal="left" vertical="top"/>
      <protection hidden="1"/>
    </xf>
    <xf numFmtId="173" fontId="0" fillId="2" borderId="18" xfId="1" applyNumberFormat="1" applyFont="1" applyFill="1" applyBorder="1" applyAlignment="1" applyProtection="1">
      <alignment horizontal="left" vertical="top"/>
      <protection locked="0"/>
    </xf>
    <xf numFmtId="9" fontId="7" fillId="2" borderId="18" xfId="3" applyFont="1" applyFill="1" applyBorder="1" applyAlignment="1" applyProtection="1">
      <alignment horizontal="left" vertical="top"/>
      <protection locked="0"/>
    </xf>
    <xf numFmtId="2" fontId="7" fillId="5" borderId="18" xfId="0" applyNumberFormat="1" applyFont="1" applyFill="1" applyBorder="1" applyAlignment="1" applyProtection="1">
      <alignment horizontal="left" vertical="top"/>
      <protection locked="0"/>
    </xf>
    <xf numFmtId="0" fontId="0" fillId="2" borderId="18" xfId="0" applyFill="1" applyBorder="1" applyAlignment="1" applyProtection="1">
      <alignment horizontal="left" vertical="top"/>
      <protection locked="0"/>
    </xf>
    <xf numFmtId="1" fontId="0" fillId="2" borderId="24" xfId="0" applyNumberFormat="1" applyFill="1" applyBorder="1" applyAlignment="1" applyProtection="1">
      <alignment horizontal="left" vertical="top"/>
      <protection locked="0"/>
    </xf>
    <xf numFmtId="2" fontId="0" fillId="5" borderId="24" xfId="0" applyNumberFormat="1" applyFill="1" applyBorder="1" applyAlignment="1" applyProtection="1">
      <alignment horizontal="left" vertical="top"/>
      <protection locked="0"/>
    </xf>
    <xf numFmtId="0" fontId="0" fillId="5" borderId="24" xfId="0" applyFill="1" applyBorder="1" applyAlignment="1" applyProtection="1">
      <alignment horizontal="left" vertical="top"/>
      <protection locked="0"/>
    </xf>
    <xf numFmtId="0" fontId="0" fillId="2" borderId="24" xfId="0" applyFill="1" applyBorder="1" applyAlignment="1" applyProtection="1">
      <alignment horizontal="left" vertical="top"/>
      <protection locked="0"/>
    </xf>
    <xf numFmtId="9" fontId="0" fillId="2" borderId="24" xfId="3" applyFont="1" applyFill="1" applyBorder="1" applyAlignment="1" applyProtection="1">
      <alignment horizontal="left" vertical="top"/>
      <protection locked="0"/>
    </xf>
    <xf numFmtId="2" fontId="7" fillId="5" borderId="24" xfId="0" applyNumberFormat="1" applyFont="1" applyFill="1" applyBorder="1" applyAlignment="1" applyProtection="1">
      <alignment horizontal="left" vertical="top"/>
      <protection locked="0"/>
    </xf>
    <xf numFmtId="4" fontId="12" fillId="0" borderId="4" xfId="0" applyNumberFormat="1" applyFont="1" applyBorder="1" applyAlignment="1" applyProtection="1">
      <alignment vertical="top"/>
      <protection hidden="1"/>
    </xf>
    <xf numFmtId="2" fontId="12" fillId="0" borderId="4" xfId="0" applyNumberFormat="1" applyFont="1" applyBorder="1" applyAlignment="1" applyProtection="1">
      <alignment vertical="top"/>
      <protection hidden="1"/>
    </xf>
    <xf numFmtId="14" fontId="12" fillId="0" borderId="0" xfId="0" applyNumberFormat="1" applyFont="1" applyAlignment="1" applyProtection="1">
      <alignment horizontal="left" vertical="top"/>
      <protection hidden="1"/>
    </xf>
    <xf numFmtId="0" fontId="12" fillId="0" borderId="25" xfId="0" applyFont="1" applyBorder="1" applyAlignment="1" applyProtection="1">
      <alignment horizontal="left" vertical="top"/>
      <protection hidden="1"/>
    </xf>
    <xf numFmtId="0" fontId="0" fillId="5" borderId="0" xfId="0" applyFill="1" applyAlignment="1" applyProtection="1">
      <alignment horizontal="left" vertical="top" wrapText="1"/>
      <protection locked="0"/>
    </xf>
    <xf numFmtId="0" fontId="1" fillId="0" borderId="14" xfId="0" applyFont="1" applyBorder="1" applyAlignment="1" applyProtection="1">
      <alignment horizontal="left" vertical="top" wrapText="1" indent="1"/>
      <protection hidden="1"/>
    </xf>
    <xf numFmtId="0" fontId="0" fillId="0" borderId="26" xfId="0" applyBorder="1" applyAlignment="1" applyProtection="1">
      <alignment horizontal="left" vertical="top" wrapText="1"/>
      <protection hidden="1"/>
    </xf>
    <xf numFmtId="0" fontId="0" fillId="0" borderId="20" xfId="0" applyBorder="1" applyAlignment="1" applyProtection="1">
      <alignment horizontal="left" vertical="top" wrapText="1"/>
      <protection hidden="1"/>
    </xf>
    <xf numFmtId="0" fontId="0" fillId="0" borderId="20" xfId="0" applyBorder="1" applyAlignment="1" applyProtection="1">
      <alignment horizontal="left" vertical="top"/>
      <protection hidden="1"/>
    </xf>
    <xf numFmtId="0" fontId="0" fillId="0" borderId="26" xfId="0" applyBorder="1" applyAlignment="1" applyProtection="1">
      <alignment horizontal="left" vertical="top"/>
      <protection hidden="1"/>
    </xf>
    <xf numFmtId="9" fontId="0" fillId="0" borderId="26" xfId="0" applyNumberFormat="1" applyBorder="1" applyAlignment="1" applyProtection="1">
      <alignment horizontal="left" vertical="top"/>
      <protection hidden="1"/>
    </xf>
    <xf numFmtId="9" fontId="0" fillId="0" borderId="3" xfId="0" applyNumberFormat="1" applyBorder="1" applyProtection="1">
      <protection hidden="1"/>
    </xf>
    <xf numFmtId="0" fontId="7" fillId="0" borderId="26" xfId="0" applyFont="1" applyBorder="1" applyAlignment="1" applyProtection="1">
      <alignment horizontal="left" vertical="top" wrapText="1"/>
      <protection hidden="1"/>
    </xf>
    <xf numFmtId="9" fontId="0" fillId="0" borderId="0" xfId="0" applyNumberFormat="1" applyAlignment="1" applyProtection="1">
      <alignment horizontal="left" vertical="top" wrapText="1"/>
      <protection hidden="1"/>
    </xf>
    <xf numFmtId="2" fontId="7" fillId="2" borderId="4" xfId="0" applyNumberFormat="1" applyFont="1" applyFill="1" applyBorder="1" applyProtection="1">
      <protection hidden="1"/>
    </xf>
    <xf numFmtId="0" fontId="22" fillId="0" borderId="0" xfId="0" applyFont="1" applyAlignment="1" applyProtection="1">
      <alignment horizontal="center"/>
      <protection hidden="1"/>
    </xf>
    <xf numFmtId="2" fontId="7" fillId="0" borderId="0" xfId="0" applyNumberFormat="1" applyFont="1" applyAlignment="1" applyProtection="1">
      <alignment horizontal="right"/>
      <protection hidden="1"/>
    </xf>
    <xf numFmtId="2" fontId="7" fillId="0" borderId="0" xfId="0" applyNumberFormat="1" applyFont="1" applyProtection="1">
      <protection hidden="1"/>
    </xf>
    <xf numFmtId="0" fontId="7" fillId="0" borderId="0" xfId="0" applyFont="1" applyAlignment="1" applyProtection="1">
      <alignment vertical="top" wrapText="1"/>
      <protection hidden="1"/>
    </xf>
    <xf numFmtId="0" fontId="7" fillId="0" borderId="21" xfId="0" applyFont="1" applyBorder="1" applyAlignment="1" applyProtection="1">
      <alignment horizontal="left" vertical="top"/>
      <protection hidden="1"/>
    </xf>
    <xf numFmtId="0" fontId="7" fillId="0" borderId="20" xfId="0" applyFont="1" applyBorder="1" applyAlignment="1" applyProtection="1">
      <alignment horizontal="left" vertical="top"/>
      <protection hidden="1"/>
    </xf>
    <xf numFmtId="10" fontId="0" fillId="0" borderId="4" xfId="3" applyNumberFormat="1" applyFont="1" applyFill="1" applyBorder="1" applyAlignment="1" applyProtection="1">
      <alignment horizontal="left" vertical="top"/>
      <protection hidden="1"/>
    </xf>
    <xf numFmtId="2" fontId="7" fillId="5" borderId="4" xfId="0" applyNumberFormat="1" applyFont="1" applyFill="1" applyBorder="1" applyAlignment="1" applyProtection="1">
      <alignment horizontal="center" vertical="top"/>
      <protection locked="0"/>
    </xf>
    <xf numFmtId="0" fontId="0" fillId="0" borderId="0" xfId="0" applyAlignment="1" applyProtection="1">
      <alignment horizontal="center" vertical="top"/>
      <protection hidden="1"/>
    </xf>
    <xf numFmtId="0" fontId="7" fillId="7" borderId="0" xfId="0" applyFont="1" applyFill="1" applyAlignment="1" applyProtection="1">
      <alignment vertical="top"/>
      <protection hidden="1"/>
    </xf>
    <xf numFmtId="0" fontId="0" fillId="7" borderId="0" xfId="0" applyFill="1" applyAlignment="1" applyProtection="1">
      <alignment horizontal="center" vertical="top"/>
      <protection hidden="1"/>
    </xf>
    <xf numFmtId="0" fontId="0" fillId="2" borderId="4" xfId="0" applyFill="1" applyBorder="1" applyAlignment="1" applyProtection="1">
      <alignment vertical="top"/>
      <protection locked="0"/>
    </xf>
    <xf numFmtId="0" fontId="0" fillId="2" borderId="27" xfId="0" applyFill="1" applyBorder="1" applyAlignment="1" applyProtection="1">
      <alignment vertical="top"/>
      <protection locked="0"/>
    </xf>
    <xf numFmtId="2" fontId="0" fillId="0" borderId="4" xfId="0" applyNumberFormat="1" applyBorder="1" applyAlignment="1" applyProtection="1">
      <alignment vertical="top"/>
      <protection hidden="1"/>
    </xf>
    <xf numFmtId="4" fontId="0" fillId="2" borderId="4" xfId="0" applyNumberFormat="1" applyFill="1" applyBorder="1" applyAlignment="1" applyProtection="1">
      <alignment vertical="top"/>
      <protection locked="0"/>
    </xf>
    <xf numFmtId="172" fontId="7" fillId="0" borderId="0" xfId="0" applyNumberFormat="1" applyFont="1" applyAlignment="1" applyProtection="1">
      <alignment vertical="top"/>
      <protection hidden="1"/>
    </xf>
    <xf numFmtId="49" fontId="7" fillId="0" borderId="0" xfId="0" applyNumberFormat="1" applyFont="1" applyAlignment="1" applyProtection="1">
      <alignment horizontal="right" vertical="top"/>
      <protection hidden="1"/>
    </xf>
    <xf numFmtId="0" fontId="15" fillId="7" borderId="0" xfId="0" applyFont="1" applyFill="1" applyAlignment="1" applyProtection="1">
      <alignment vertical="top"/>
      <protection hidden="1"/>
    </xf>
    <xf numFmtId="170" fontId="0" fillId="0" borderId="4" xfId="0" applyNumberFormat="1" applyBorder="1" applyAlignment="1" applyProtection="1">
      <alignment vertical="top"/>
      <protection hidden="1"/>
    </xf>
    <xf numFmtId="0" fontId="0" fillId="0" borderId="22" xfId="0" applyBorder="1" applyAlignment="1" applyProtection="1">
      <alignment vertical="top"/>
      <protection hidden="1"/>
    </xf>
    <xf numFmtId="0" fontId="0" fillId="0" borderId="13" xfId="0" applyBorder="1" applyAlignment="1" applyProtection="1">
      <alignment vertical="top"/>
      <protection hidden="1"/>
    </xf>
    <xf numFmtId="0" fontId="7" fillId="0" borderId="0" xfId="0" applyFont="1" applyAlignment="1" applyProtection="1">
      <alignment horizontal="right" vertical="top"/>
      <protection hidden="1"/>
    </xf>
    <xf numFmtId="170" fontId="7" fillId="0" borderId="0" xfId="0" applyNumberFormat="1" applyFont="1" applyAlignment="1" applyProtection="1">
      <alignment vertical="top"/>
      <protection hidden="1"/>
    </xf>
    <xf numFmtId="0" fontId="7" fillId="0" borderId="0" xfId="0" applyFont="1" applyAlignment="1" applyProtection="1">
      <alignment horizontal="center" vertical="top"/>
      <protection hidden="1"/>
    </xf>
    <xf numFmtId="165" fontId="0" fillId="0" borderId="4" xfId="0" applyNumberFormat="1" applyBorder="1" applyAlignment="1" applyProtection="1">
      <alignment horizontal="center" vertical="top"/>
      <protection hidden="1"/>
    </xf>
    <xf numFmtId="0" fontId="0" fillId="2" borderId="4" xfId="0" applyFill="1" applyBorder="1" applyAlignment="1" applyProtection="1">
      <alignment horizontal="center" vertical="top" shrinkToFit="1"/>
      <protection locked="0"/>
    </xf>
    <xf numFmtId="0" fontId="0" fillId="0" borderId="4" xfId="0" applyBorder="1" applyAlignment="1" applyProtection="1">
      <alignment horizontal="center" vertical="top"/>
      <protection hidden="1"/>
    </xf>
    <xf numFmtId="2" fontId="0" fillId="0" borderId="0" xfId="0" applyNumberFormat="1" applyAlignment="1" applyProtection="1">
      <alignment vertical="top"/>
      <protection hidden="1"/>
    </xf>
    <xf numFmtId="0" fontId="23" fillId="0" borderId="0" xfId="0" applyFont="1" applyAlignment="1" applyProtection="1">
      <alignment vertical="top"/>
      <protection hidden="1"/>
    </xf>
    <xf numFmtId="0" fontId="20" fillId="0" borderId="0" xfId="0" applyFont="1" applyAlignment="1" applyProtection="1">
      <alignment vertical="top"/>
      <protection hidden="1"/>
    </xf>
    <xf numFmtId="0" fontId="0" fillId="0" borderId="0" xfId="0" applyAlignment="1">
      <alignment vertical="top"/>
    </xf>
    <xf numFmtId="0" fontId="0" fillId="9" borderId="0" xfId="0" applyFill="1" applyAlignment="1" applyProtection="1">
      <alignment vertical="top"/>
      <protection hidden="1"/>
    </xf>
    <xf numFmtId="4" fontId="0" fillId="0" borderId="0" xfId="0" applyNumberFormat="1" applyAlignment="1">
      <alignment horizontal="right" vertical="top"/>
    </xf>
    <xf numFmtId="2" fontId="0" fillId="0" borderId="0" xfId="0" applyNumberFormat="1" applyAlignment="1">
      <alignment horizontal="right" vertical="top"/>
    </xf>
    <xf numFmtId="174" fontId="0" fillId="0" borderId="0" xfId="0" applyNumberFormat="1" applyAlignment="1" applyProtection="1">
      <alignment vertical="top"/>
      <protection hidden="1"/>
    </xf>
    <xf numFmtId="167" fontId="0" fillId="0" borderId="0" xfId="0" applyNumberFormat="1" applyAlignment="1">
      <alignment horizontal="left" vertical="top"/>
    </xf>
    <xf numFmtId="10" fontId="0" fillId="0" borderId="0" xfId="0" applyNumberFormat="1" applyAlignment="1">
      <alignment horizontal="right" vertical="top"/>
    </xf>
    <xf numFmtId="4" fontId="9" fillId="0" borderId="0" xfId="0" applyNumberFormat="1" applyFont="1" applyAlignment="1">
      <alignment horizontal="left" vertical="top"/>
    </xf>
    <xf numFmtId="4" fontId="2" fillId="0" borderId="0" xfId="0" applyNumberFormat="1" applyFont="1" applyAlignment="1">
      <alignment vertical="top"/>
    </xf>
    <xf numFmtId="10" fontId="0" fillId="0" borderId="0" xfId="0" applyNumberFormat="1" applyAlignment="1">
      <alignment vertical="top"/>
    </xf>
    <xf numFmtId="4" fontId="0" fillId="0" borderId="0" xfId="0" applyNumberFormat="1" applyAlignment="1">
      <alignment vertical="top"/>
    </xf>
    <xf numFmtId="0" fontId="7" fillId="0" borderId="0" xfId="0" applyFont="1" applyAlignment="1">
      <alignment horizontal="left" vertical="top"/>
    </xf>
    <xf numFmtId="4" fontId="2" fillId="0" borderId="19" xfId="0" applyNumberFormat="1" applyFont="1" applyBorder="1" applyAlignment="1">
      <alignment vertical="top"/>
    </xf>
    <xf numFmtId="49" fontId="0" fillId="0" borderId="0" xfId="0" applyNumberFormat="1" applyAlignment="1">
      <alignment vertical="top"/>
    </xf>
    <xf numFmtId="0" fontId="3" fillId="0" borderId="0" xfId="0" applyFont="1" applyAlignment="1">
      <alignment horizontal="left" vertical="top"/>
    </xf>
    <xf numFmtId="4" fontId="0" fillId="2" borderId="27" xfId="0" applyNumberFormat="1" applyFill="1" applyBorder="1" applyAlignment="1" applyProtection="1">
      <alignment vertical="top"/>
      <protection locked="0"/>
    </xf>
    <xf numFmtId="4" fontId="0" fillId="2" borderId="29" xfId="0" applyNumberFormat="1" applyFill="1" applyBorder="1" applyAlignment="1" applyProtection="1">
      <alignment vertical="top"/>
      <protection locked="0"/>
    </xf>
    <xf numFmtId="0" fontId="0" fillId="2" borderId="29" xfId="0" applyFill="1" applyBorder="1" applyAlignment="1" applyProtection="1">
      <alignment vertical="top"/>
      <protection locked="0"/>
    </xf>
    <xf numFmtId="0" fontId="0" fillId="0" borderId="30" xfId="0" applyBorder="1" applyAlignment="1" applyProtection="1">
      <alignment vertical="top"/>
      <protection hidden="1"/>
    </xf>
    <xf numFmtId="0" fontId="0" fillId="0" borderId="31" xfId="0" applyBorder="1" applyAlignment="1" applyProtection="1">
      <alignment vertical="top"/>
      <protection hidden="1"/>
    </xf>
    <xf numFmtId="0" fontId="0" fillId="0" borderId="32" xfId="0" applyBorder="1" applyAlignment="1" applyProtection="1">
      <alignment horizontal="right" vertical="top"/>
      <protection hidden="1"/>
    </xf>
    <xf numFmtId="0" fontId="0" fillId="10" borderId="33" xfId="0" applyFill="1" applyBorder="1" applyAlignment="1" applyProtection="1">
      <alignment vertical="top"/>
      <protection hidden="1"/>
    </xf>
    <xf numFmtId="14" fontId="0" fillId="10" borderId="34" xfId="0" applyNumberFormat="1" applyFill="1" applyBorder="1" applyAlignment="1" applyProtection="1">
      <alignment horizontal="left" vertical="top"/>
      <protection hidden="1"/>
    </xf>
    <xf numFmtId="2" fontId="0" fillId="10" borderId="34" xfId="0" applyNumberFormat="1" applyFill="1" applyBorder="1" applyAlignment="1" applyProtection="1">
      <alignment horizontal="left" vertical="top"/>
      <protection hidden="1"/>
    </xf>
    <xf numFmtId="0" fontId="0" fillId="10" borderId="34" xfId="0" applyFill="1" applyBorder="1" applyAlignment="1" applyProtection="1">
      <alignment horizontal="left" vertical="top"/>
      <protection hidden="1"/>
    </xf>
    <xf numFmtId="0" fontId="1" fillId="10" borderId="34" xfId="0" applyFont="1" applyFill="1" applyBorder="1" applyAlignment="1" applyProtection="1">
      <alignment horizontal="left" vertical="top"/>
      <protection hidden="1"/>
    </xf>
    <xf numFmtId="14" fontId="0" fillId="2" borderId="4" xfId="0" applyNumberFormat="1" applyFill="1" applyBorder="1" applyAlignment="1" applyProtection="1">
      <alignment vertical="top"/>
      <protection locked="0"/>
    </xf>
    <xf numFmtId="9" fontId="0" fillId="0" borderId="0" xfId="3" applyFont="1" applyFill="1" applyBorder="1" applyAlignment="1" applyProtection="1">
      <alignment vertical="top"/>
      <protection hidden="1"/>
    </xf>
    <xf numFmtId="9" fontId="0" fillId="2" borderId="4" xfId="3" applyFont="1" applyFill="1" applyBorder="1" applyAlignment="1" applyProtection="1">
      <alignment vertical="top"/>
      <protection locked="0"/>
    </xf>
    <xf numFmtId="0" fontId="0" fillId="0" borderId="27" xfId="0" applyBorder="1" applyAlignment="1" applyProtection="1">
      <alignment vertical="top" wrapText="1"/>
      <protection hidden="1"/>
    </xf>
    <xf numFmtId="2" fontId="7" fillId="0" borderId="4" xfId="0" applyNumberFormat="1" applyFont="1" applyBorder="1" applyAlignment="1" applyProtection="1">
      <alignment vertical="top"/>
      <protection hidden="1"/>
    </xf>
    <xf numFmtId="0" fontId="7" fillId="0" borderId="9" xfId="0" applyFont="1" applyBorder="1" applyProtection="1">
      <protection hidden="1"/>
    </xf>
    <xf numFmtId="0" fontId="7" fillId="0" borderId="9" xfId="0" applyFont="1" applyBorder="1" applyAlignment="1" applyProtection="1">
      <alignment horizontal="right" wrapText="1"/>
      <protection hidden="1"/>
    </xf>
    <xf numFmtId="164" fontId="2" fillId="0" borderId="0" xfId="0" applyNumberFormat="1" applyFont="1" applyAlignment="1" applyProtection="1">
      <alignment vertical="top"/>
      <protection hidden="1"/>
    </xf>
    <xf numFmtId="172" fontId="7" fillId="0" borderId="0" xfId="0" applyNumberFormat="1" applyFont="1" applyAlignment="1" applyProtection="1">
      <alignment horizontal="left" vertical="top"/>
      <protection hidden="1"/>
    </xf>
    <xf numFmtId="4" fontId="7" fillId="0" borderId="0" xfId="0" applyNumberFormat="1" applyFont="1" applyAlignment="1" applyProtection="1">
      <alignment horizontal="right" vertical="top"/>
      <protection hidden="1"/>
    </xf>
    <xf numFmtId="0" fontId="2" fillId="0" borderId="0" xfId="0" applyFont="1" applyAlignment="1">
      <alignment vertical="top"/>
    </xf>
    <xf numFmtId="166" fontId="2" fillId="0" borderId="0" xfId="0" applyNumberFormat="1" applyFont="1" applyAlignment="1">
      <alignment horizontal="left" vertical="top"/>
    </xf>
    <xf numFmtId="0" fontId="9" fillId="0" borderId="0" xfId="0" applyFont="1" applyAlignment="1">
      <alignment vertical="top"/>
    </xf>
    <xf numFmtId="14" fontId="0" fillId="0" borderId="0" xfId="0" applyNumberFormat="1" applyAlignment="1">
      <alignment horizontal="left" vertical="top"/>
    </xf>
    <xf numFmtId="4" fontId="0" fillId="0" borderId="0" xfId="0" applyNumberFormat="1" applyAlignment="1">
      <alignment horizontal="left" vertical="top"/>
    </xf>
    <xf numFmtId="0" fontId="2" fillId="0" borderId="19" xfId="0" applyFont="1" applyBorder="1" applyAlignment="1">
      <alignment vertical="top"/>
    </xf>
    <xf numFmtId="0" fontId="0" fillId="0" borderId="19" xfId="0" applyBorder="1" applyAlignment="1">
      <alignment vertical="top"/>
    </xf>
    <xf numFmtId="0" fontId="2" fillId="0" borderId="19" xfId="0" applyFont="1" applyBorder="1" applyAlignment="1">
      <alignment horizontal="right" vertical="top"/>
    </xf>
    <xf numFmtId="2" fontId="9" fillId="0" borderId="0" xfId="0" applyNumberFormat="1" applyFont="1" applyAlignment="1">
      <alignment vertical="top"/>
    </xf>
    <xf numFmtId="168" fontId="0" fillId="0" borderId="0" xfId="0" applyNumberFormat="1" applyAlignment="1">
      <alignment horizontal="left" vertical="top"/>
    </xf>
    <xf numFmtId="4" fontId="9" fillId="0" borderId="0" xfId="0" applyNumberFormat="1" applyFont="1" applyAlignment="1">
      <alignment vertical="top"/>
    </xf>
    <xf numFmtId="0" fontId="7" fillId="0" borderId="0" xfId="0" applyFont="1" applyAlignment="1">
      <alignment vertical="top"/>
    </xf>
    <xf numFmtId="168" fontId="7" fillId="0" borderId="0" xfId="0" applyNumberFormat="1" applyFont="1" applyAlignment="1">
      <alignment horizontal="left" vertical="top"/>
    </xf>
    <xf numFmtId="0" fontId="3" fillId="0" borderId="0" xfId="0" applyFont="1" applyAlignment="1">
      <alignment vertical="top"/>
    </xf>
    <xf numFmtId="2" fontId="0" fillId="0" borderId="0" xfId="0" applyNumberFormat="1" applyAlignment="1">
      <alignment vertical="top"/>
    </xf>
    <xf numFmtId="169" fontId="0" fillId="0" borderId="0" xfId="0" applyNumberFormat="1" applyAlignment="1">
      <alignment horizontal="left" vertical="top"/>
    </xf>
    <xf numFmtId="169" fontId="0" fillId="0" borderId="0" xfId="0" applyNumberFormat="1" applyAlignment="1">
      <alignment vertical="top"/>
    </xf>
    <xf numFmtId="49" fontId="0" fillId="0" borderId="19" xfId="0" applyNumberFormat="1" applyBorder="1" applyAlignment="1">
      <alignment vertical="top"/>
    </xf>
    <xf numFmtId="0" fontId="9" fillId="0" borderId="19" xfId="0" applyFont="1" applyBorder="1" applyAlignment="1">
      <alignment vertical="top"/>
    </xf>
    <xf numFmtId="0" fontId="20" fillId="0" borderId="0" xfId="0" applyFont="1" applyAlignment="1" applyProtection="1">
      <alignment horizontal="left" vertical="top"/>
      <protection hidden="1"/>
    </xf>
    <xf numFmtId="0" fontId="0" fillId="0" borderId="7" xfId="0" applyBorder="1" applyAlignment="1" applyProtection="1">
      <alignment vertical="top"/>
      <protection hidden="1"/>
    </xf>
    <xf numFmtId="0" fontId="24" fillId="0" borderId="0" xfId="0" applyFont="1" applyProtection="1">
      <protection hidden="1"/>
    </xf>
    <xf numFmtId="0" fontId="11" fillId="0" borderId="0" xfId="0" applyFont="1" applyProtection="1">
      <protection hidden="1"/>
    </xf>
    <xf numFmtId="0" fontId="14" fillId="2" borderId="4" xfId="0" applyFont="1" applyFill="1" applyBorder="1" applyAlignment="1" applyProtection="1">
      <alignment horizontal="center" vertical="center"/>
      <protection hidden="1"/>
    </xf>
    <xf numFmtId="175" fontId="0" fillId="6" borderId="23" xfId="0" applyNumberFormat="1" applyFill="1" applyBorder="1" applyAlignment="1" applyProtection="1">
      <alignment horizontal="left" vertical="top"/>
      <protection locked="0"/>
    </xf>
    <xf numFmtId="175" fontId="0" fillId="6" borderId="35" xfId="0" applyNumberFormat="1" applyFill="1" applyBorder="1" applyAlignment="1" applyProtection="1">
      <alignment horizontal="left" vertical="top"/>
      <protection locked="0"/>
    </xf>
    <xf numFmtId="0" fontId="0" fillId="0" borderId="0" xfId="0" applyAlignment="1" applyProtection="1">
      <alignment horizontal="right" vertical="top"/>
      <protection hidden="1"/>
    </xf>
    <xf numFmtId="0" fontId="0" fillId="0" borderId="5" xfId="0" applyBorder="1" applyAlignment="1" applyProtection="1">
      <alignment vertical="top"/>
      <protection hidden="1"/>
    </xf>
    <xf numFmtId="0" fontId="0" fillId="0" borderId="6" xfId="0" applyBorder="1" applyAlignment="1" applyProtection="1">
      <alignment vertical="top"/>
      <protection hidden="1"/>
    </xf>
    <xf numFmtId="0" fontId="0" fillId="0" borderId="6" xfId="0" applyBorder="1" applyAlignment="1" applyProtection="1">
      <alignment horizontal="center" vertical="top"/>
      <protection hidden="1"/>
    </xf>
    <xf numFmtId="0" fontId="0" fillId="0" borderId="9" xfId="0" applyBorder="1" applyAlignment="1" applyProtection="1">
      <alignment horizontal="center" vertical="top"/>
      <protection hidden="1"/>
    </xf>
    <xf numFmtId="0" fontId="0" fillId="0" borderId="5"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8" xfId="0" applyBorder="1" applyAlignment="1" applyProtection="1">
      <alignment vertical="top"/>
      <protection hidden="1"/>
    </xf>
    <xf numFmtId="0" fontId="0" fillId="0" borderId="4" xfId="0" applyBorder="1" applyAlignment="1" applyProtection="1">
      <alignment horizontal="left" vertical="top"/>
      <protection hidden="1"/>
    </xf>
    <xf numFmtId="0" fontId="25" fillId="4" borderId="0" xfId="0" applyFont="1" applyFill="1" applyAlignment="1" applyProtection="1">
      <alignment vertical="top"/>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10" fillId="4" borderId="0" xfId="0" applyFont="1" applyFill="1" applyAlignment="1" applyProtection="1">
      <alignment horizontal="center" vertical="top"/>
      <protection hidden="1"/>
    </xf>
    <xf numFmtId="0" fontId="10" fillId="4" borderId="6" xfId="0" applyFont="1" applyFill="1" applyBorder="1" applyAlignment="1" applyProtection="1">
      <alignment horizontal="center" vertical="top"/>
      <protection hidden="1"/>
    </xf>
    <xf numFmtId="14" fontId="0" fillId="0" borderId="5" xfId="0" applyNumberFormat="1" applyBorder="1" applyAlignment="1" applyProtection="1">
      <alignment vertical="top"/>
      <protection hidden="1"/>
    </xf>
    <xf numFmtId="0" fontId="7" fillId="0" borderId="6" xfId="0" applyFont="1" applyBorder="1" applyAlignment="1" applyProtection="1">
      <alignment horizontal="center" vertical="top"/>
      <protection hidden="1"/>
    </xf>
    <xf numFmtId="14" fontId="0" fillId="0" borderId="7" xfId="0" applyNumberFormat="1" applyBorder="1" applyAlignment="1" applyProtection="1">
      <alignment vertical="top"/>
      <protection hidden="1"/>
    </xf>
    <xf numFmtId="0" fontId="7" fillId="0" borderId="8" xfId="0" applyFont="1" applyBorder="1" applyAlignment="1" applyProtection="1">
      <alignment horizontal="center" vertical="top"/>
      <protection hidden="1"/>
    </xf>
    <xf numFmtId="0" fontId="0" fillId="0" borderId="29" xfId="0" applyBorder="1" applyAlignment="1" applyProtection="1">
      <alignment vertical="top"/>
      <protection hidden="1"/>
    </xf>
    <xf numFmtId="0" fontId="0" fillId="0" borderId="29" xfId="0" applyBorder="1" applyAlignment="1" applyProtection="1">
      <alignment horizontal="right" vertical="top"/>
      <protection hidden="1"/>
    </xf>
    <xf numFmtId="170" fontId="0" fillId="0" borderId="29" xfId="0" applyNumberFormat="1" applyBorder="1" applyAlignment="1" applyProtection="1">
      <alignment vertical="top"/>
      <protection hidden="1"/>
    </xf>
    <xf numFmtId="170" fontId="0" fillId="0" borderId="13" xfId="0" applyNumberFormat="1" applyBorder="1" applyAlignment="1" applyProtection="1">
      <alignment vertical="top"/>
      <protection hidden="1"/>
    </xf>
    <xf numFmtId="0" fontId="0" fillId="0" borderId="5" xfId="0" applyBorder="1" applyAlignment="1" applyProtection="1">
      <alignment horizontal="right"/>
      <protection hidden="1"/>
    </xf>
    <xf numFmtId="0" fontId="0" fillId="0" borderId="6" xfId="0" applyBorder="1" applyAlignment="1" applyProtection="1">
      <alignment horizontal="right"/>
      <protection hidden="1"/>
    </xf>
    <xf numFmtId="170" fontId="7" fillId="0" borderId="6" xfId="0" applyNumberFormat="1" applyFont="1" applyBorder="1" applyAlignment="1" applyProtection="1">
      <alignment vertical="top"/>
      <protection hidden="1"/>
    </xf>
    <xf numFmtId="0" fontId="10" fillId="4" borderId="5" xfId="0" applyFont="1" applyFill="1" applyBorder="1" applyAlignment="1" applyProtection="1">
      <alignment vertical="top"/>
      <protection hidden="1"/>
    </xf>
    <xf numFmtId="170" fontId="0" fillId="0" borderId="6" xfId="0" applyNumberFormat="1" applyBorder="1" applyAlignment="1" applyProtection="1">
      <alignment vertical="top"/>
      <protection hidden="1"/>
    </xf>
    <xf numFmtId="170" fontId="0" fillId="0" borderId="8" xfId="0" applyNumberFormat="1" applyBorder="1" applyAlignment="1" applyProtection="1">
      <alignment vertical="top"/>
      <protection hidden="1"/>
    </xf>
    <xf numFmtId="0" fontId="10" fillId="4" borderId="0" xfId="0" applyFont="1" applyFill="1" applyAlignment="1" applyProtection="1">
      <alignment vertical="top"/>
      <protection hidden="1"/>
    </xf>
    <xf numFmtId="0" fontId="0" fillId="0" borderId="9" xfId="0" applyBorder="1" applyAlignment="1" applyProtection="1">
      <alignment vertical="top"/>
      <protection hidden="1"/>
    </xf>
    <xf numFmtId="0" fontId="0" fillId="0" borderId="29" xfId="0" applyBorder="1" applyProtection="1">
      <protection hidden="1"/>
    </xf>
    <xf numFmtId="0" fontId="10" fillId="4" borderId="29" xfId="0" applyFont="1" applyFill="1" applyBorder="1" applyAlignment="1" applyProtection="1">
      <alignment vertical="top"/>
      <protection hidden="1"/>
    </xf>
    <xf numFmtId="2" fontId="7" fillId="0" borderId="6" xfId="0" applyNumberFormat="1" applyFont="1" applyBorder="1" applyAlignment="1" applyProtection="1">
      <alignment vertical="top"/>
      <protection hidden="1"/>
    </xf>
    <xf numFmtId="9" fontId="0" fillId="0" borderId="5" xfId="3" applyFont="1" applyBorder="1" applyAlignment="1" applyProtection="1">
      <alignment horizontal="center" vertical="top"/>
      <protection hidden="1"/>
    </xf>
    <xf numFmtId="2" fontId="0" fillId="0" borderId="6" xfId="0" applyNumberFormat="1" applyBorder="1" applyAlignment="1" applyProtection="1">
      <alignment vertical="top"/>
      <protection hidden="1"/>
    </xf>
    <xf numFmtId="9" fontId="0" fillId="0" borderId="7" xfId="3" applyFont="1" applyBorder="1" applyAlignment="1" applyProtection="1">
      <alignment horizontal="center" vertical="top"/>
      <protection hidden="1"/>
    </xf>
    <xf numFmtId="2" fontId="0" fillId="0" borderId="9" xfId="0" applyNumberFormat="1" applyBorder="1" applyAlignment="1" applyProtection="1">
      <alignment vertical="top"/>
      <protection hidden="1"/>
    </xf>
    <xf numFmtId="2" fontId="0" fillId="0" borderId="8" xfId="0" applyNumberFormat="1" applyBorder="1" applyAlignment="1" applyProtection="1">
      <alignment vertical="top"/>
      <protection hidden="1"/>
    </xf>
    <xf numFmtId="0" fontId="0" fillId="0" borderId="5" xfId="0" applyBorder="1" applyAlignment="1" applyProtection="1">
      <alignment horizontal="right" vertical="top"/>
      <protection hidden="1"/>
    </xf>
    <xf numFmtId="2" fontId="0" fillId="0" borderId="5" xfId="0" applyNumberFormat="1" applyBorder="1" applyAlignment="1" applyProtection="1">
      <alignment vertical="top"/>
      <protection hidden="1"/>
    </xf>
    <xf numFmtId="2" fontId="0" fillId="0" borderId="7" xfId="0" applyNumberFormat="1" applyBorder="1" applyAlignment="1" applyProtection="1">
      <alignment vertical="top"/>
      <protection hidden="1"/>
    </xf>
    <xf numFmtId="170" fontId="7" fillId="0" borderId="0" xfId="0" applyNumberFormat="1" applyFont="1" applyAlignment="1" applyProtection="1">
      <alignment horizontal="right" wrapText="1"/>
      <protection hidden="1"/>
    </xf>
    <xf numFmtId="2" fontId="7" fillId="10" borderId="0" xfId="0" applyNumberFormat="1" applyFont="1" applyFill="1" applyAlignment="1" applyProtection="1">
      <alignment vertical="top"/>
      <protection hidden="1"/>
    </xf>
    <xf numFmtId="0" fontId="0" fillId="0" borderId="0" xfId="0" applyAlignment="1" applyProtection="1">
      <alignment horizontal="right" wrapText="1"/>
      <protection hidden="1"/>
    </xf>
    <xf numFmtId="4" fontId="0" fillId="0" borderId="6" xfId="0" applyNumberFormat="1" applyBorder="1" applyAlignment="1" applyProtection="1">
      <alignment vertical="top"/>
      <protection hidden="1"/>
    </xf>
    <xf numFmtId="4" fontId="7" fillId="0" borderId="0" xfId="0" applyNumberFormat="1" applyFont="1" applyAlignment="1">
      <alignment vertical="top"/>
    </xf>
    <xf numFmtId="172" fontId="0" fillId="2" borderId="4" xfId="3" applyNumberFormat="1" applyFont="1" applyFill="1" applyBorder="1" applyAlignment="1" applyProtection="1">
      <alignment vertical="top"/>
      <protection locked="0"/>
    </xf>
    <xf numFmtId="9" fontId="12" fillId="0" borderId="0" xfId="0" applyNumberFormat="1" applyFont="1" applyAlignment="1" applyProtection="1">
      <alignment vertical="top"/>
      <protection hidden="1"/>
    </xf>
    <xf numFmtId="4" fontId="0" fillId="0" borderId="8" xfId="0" applyNumberFormat="1" applyBorder="1" applyAlignment="1" applyProtection="1">
      <alignment vertical="top"/>
      <protection hidden="1"/>
    </xf>
    <xf numFmtId="4" fontId="0" fillId="0" borderId="0" xfId="0" applyNumberFormat="1" applyAlignment="1" applyProtection="1">
      <alignment vertical="top"/>
      <protection hidden="1"/>
    </xf>
    <xf numFmtId="4" fontId="0" fillId="0" borderId="9" xfId="0" applyNumberFormat="1" applyBorder="1" applyAlignment="1" applyProtection="1">
      <alignment vertical="top"/>
      <protection hidden="1"/>
    </xf>
    <xf numFmtId="0" fontId="0" fillId="0" borderId="29" xfId="0" applyBorder="1" applyAlignment="1" applyProtection="1">
      <alignment horizontal="right"/>
      <protection hidden="1"/>
    </xf>
    <xf numFmtId="176" fontId="0" fillId="0" borderId="0" xfId="3" applyNumberFormat="1" applyFont="1" applyFill="1" applyAlignment="1">
      <alignment horizontal="right" vertical="top"/>
    </xf>
    <xf numFmtId="4" fontId="9" fillId="0" borderId="0" xfId="0" applyNumberFormat="1" applyFont="1" applyAlignment="1">
      <alignment horizontal="right" vertical="top"/>
    </xf>
    <xf numFmtId="0" fontId="1" fillId="10" borderId="0" xfId="0" applyFont="1" applyFill="1" applyAlignment="1" applyProtection="1">
      <alignment vertical="top"/>
      <protection hidden="1"/>
    </xf>
    <xf numFmtId="0" fontId="27" fillId="0" borderId="0" xfId="0" applyFont="1" applyAlignment="1" applyProtection="1">
      <alignment vertical="top"/>
      <protection hidden="1"/>
    </xf>
    <xf numFmtId="0" fontId="27" fillId="4" borderId="0" xfId="0" applyFont="1" applyFill="1" applyAlignment="1" applyProtection="1">
      <alignment vertical="top"/>
      <protection hidden="1"/>
    </xf>
    <xf numFmtId="4" fontId="1" fillId="0" borderId="5" xfId="0" applyNumberFormat="1" applyFont="1" applyBorder="1" applyAlignment="1" applyProtection="1">
      <alignment vertical="top"/>
      <protection hidden="1"/>
    </xf>
    <xf numFmtId="4" fontId="1" fillId="0" borderId="0" xfId="0" applyNumberFormat="1" applyFont="1" applyAlignment="1" applyProtection="1">
      <alignment vertical="top"/>
      <protection hidden="1"/>
    </xf>
    <xf numFmtId="4" fontId="1" fillId="0" borderId="6" xfId="0" applyNumberFormat="1" applyFont="1" applyBorder="1" applyAlignment="1" applyProtection="1">
      <alignment vertical="top"/>
      <protection hidden="1"/>
    </xf>
    <xf numFmtId="4" fontId="1" fillId="0" borderId="7" xfId="0" applyNumberFormat="1" applyFont="1" applyBorder="1" applyAlignment="1" applyProtection="1">
      <alignment vertical="top"/>
      <protection hidden="1"/>
    </xf>
    <xf numFmtId="4" fontId="1" fillId="0" borderId="9" xfId="0" applyNumberFormat="1" applyFont="1" applyBorder="1" applyAlignment="1" applyProtection="1">
      <alignment vertical="top"/>
      <protection hidden="1"/>
    </xf>
    <xf numFmtId="4" fontId="1" fillId="0" borderId="8" xfId="0" applyNumberFormat="1" applyFont="1" applyBorder="1" applyAlignment="1" applyProtection="1">
      <alignment vertical="top"/>
      <protection hidden="1"/>
    </xf>
    <xf numFmtId="4" fontId="0" fillId="0" borderId="5" xfId="0" applyNumberFormat="1" applyBorder="1" applyAlignment="1" applyProtection="1">
      <alignment vertical="top"/>
      <protection hidden="1"/>
    </xf>
    <xf numFmtId="4" fontId="0" fillId="0" borderId="7" xfId="0" applyNumberFormat="1" applyBorder="1" applyAlignment="1" applyProtection="1">
      <alignment vertical="top"/>
      <protection hidden="1"/>
    </xf>
    <xf numFmtId="177" fontId="0" fillId="2" borderId="4" xfId="0" applyNumberFormat="1" applyFill="1" applyBorder="1" applyAlignment="1" applyProtection="1">
      <alignment vertical="top"/>
      <protection locked="0"/>
    </xf>
    <xf numFmtId="178" fontId="0" fillId="2" borderId="4" xfId="0" applyNumberFormat="1" applyFill="1" applyBorder="1" applyAlignment="1" applyProtection="1">
      <alignment vertical="top"/>
      <protection locked="0"/>
    </xf>
    <xf numFmtId="0" fontId="12" fillId="0" borderId="0" xfId="0" applyFont="1" applyAlignment="1" applyProtection="1">
      <alignment horizontal="center" vertical="top"/>
      <protection hidden="1"/>
    </xf>
    <xf numFmtId="0" fontId="25" fillId="10" borderId="0" xfId="0" applyFont="1" applyFill="1" applyAlignment="1" applyProtection="1">
      <alignment vertical="top"/>
      <protection hidden="1"/>
    </xf>
    <xf numFmtId="0" fontId="0" fillId="2" borderId="33" xfId="0" applyFill="1" applyBorder="1" applyAlignment="1" applyProtection="1">
      <alignment vertical="top"/>
      <protection hidden="1"/>
    </xf>
    <xf numFmtId="0" fontId="0" fillId="2" borderId="34" xfId="0" applyFill="1" applyBorder="1" applyAlignment="1" applyProtection="1">
      <alignment horizontal="left" vertical="top"/>
      <protection locked="0"/>
    </xf>
    <xf numFmtId="0" fontId="3" fillId="0" borderId="0" xfId="0" applyFont="1" applyAlignment="1" applyProtection="1">
      <alignment horizontal="right" vertical="top"/>
      <protection hidden="1"/>
    </xf>
    <xf numFmtId="2" fontId="25" fillId="0" borderId="0" xfId="0" applyNumberFormat="1" applyFont="1" applyAlignment="1" applyProtection="1">
      <alignment vertical="top"/>
      <protection hidden="1"/>
    </xf>
    <xf numFmtId="0" fontId="0" fillId="10" borderId="0" xfId="0" applyFill="1" applyAlignment="1" applyProtection="1">
      <alignment vertical="top"/>
      <protection hidden="1"/>
    </xf>
    <xf numFmtId="14" fontId="7" fillId="0" borderId="0" xfId="0" applyNumberFormat="1" applyFont="1" applyAlignment="1">
      <alignment horizontal="left" vertical="top"/>
    </xf>
    <xf numFmtId="4" fontId="7" fillId="0" borderId="0" xfId="0" applyNumberFormat="1" applyFont="1" applyAlignment="1">
      <alignment horizontal="right" vertical="top"/>
    </xf>
    <xf numFmtId="2" fontId="7" fillId="0" borderId="0" xfId="0" applyNumberFormat="1" applyFont="1" applyAlignment="1">
      <alignment vertical="top"/>
    </xf>
    <xf numFmtId="169" fontId="7" fillId="0" borderId="0" xfId="0" applyNumberFormat="1" applyFont="1" applyAlignment="1">
      <alignment vertical="top"/>
    </xf>
    <xf numFmtId="49" fontId="7" fillId="0" borderId="0" xfId="0" applyNumberFormat="1" applyFont="1" applyAlignment="1">
      <alignment vertical="top"/>
    </xf>
    <xf numFmtId="166" fontId="7" fillId="0" borderId="0" xfId="0" applyNumberFormat="1" applyFont="1" applyAlignment="1">
      <alignment horizontal="left" vertical="top"/>
    </xf>
    <xf numFmtId="4" fontId="7" fillId="0" borderId="0" xfId="0" applyNumberFormat="1" applyFont="1" applyAlignment="1">
      <alignment horizontal="left" vertical="top"/>
    </xf>
    <xf numFmtId="2" fontId="7" fillId="0" borderId="0" xfId="0" applyNumberFormat="1" applyFont="1" applyAlignment="1">
      <alignment horizontal="right" vertical="top"/>
    </xf>
    <xf numFmtId="167" fontId="7" fillId="0" borderId="0" xfId="0" applyNumberFormat="1" applyFont="1" applyAlignment="1">
      <alignment horizontal="left" vertical="top"/>
    </xf>
    <xf numFmtId="176" fontId="7" fillId="0" borderId="0" xfId="3" applyNumberFormat="1" applyFont="1" applyFill="1" applyBorder="1" applyAlignment="1">
      <alignment horizontal="right" vertical="top"/>
    </xf>
    <xf numFmtId="10" fontId="7" fillId="0" borderId="0" xfId="0" applyNumberFormat="1" applyFont="1" applyAlignment="1">
      <alignment horizontal="right" vertical="top"/>
    </xf>
    <xf numFmtId="10" fontId="7" fillId="0" borderId="0" xfId="0" applyNumberFormat="1" applyFont="1" applyAlignment="1">
      <alignment vertical="top"/>
    </xf>
    <xf numFmtId="169" fontId="7" fillId="0" borderId="0" xfId="0" applyNumberFormat="1" applyFont="1" applyAlignment="1">
      <alignment horizontal="left" vertical="top"/>
    </xf>
    <xf numFmtId="0" fontId="0" fillId="0" borderId="14" xfId="0" applyBorder="1" applyAlignment="1">
      <alignment vertical="top"/>
    </xf>
    <xf numFmtId="164" fontId="26" fillId="4" borderId="0" xfId="0" applyNumberFormat="1" applyFont="1" applyFill="1" applyAlignment="1" applyProtection="1">
      <alignment vertical="top"/>
      <protection hidden="1"/>
    </xf>
    <xf numFmtId="9" fontId="0" fillId="10" borderId="4" xfId="3" applyFont="1" applyFill="1" applyBorder="1" applyProtection="1">
      <protection hidden="1"/>
    </xf>
    <xf numFmtId="0" fontId="7" fillId="0" borderId="0" xfId="0" applyFont="1" applyAlignment="1" applyProtection="1">
      <alignment horizontal="left" vertical="top"/>
      <protection hidden="1"/>
    </xf>
    <xf numFmtId="0" fontId="15" fillId="0" borderId="0" xfId="0" applyFont="1" applyAlignment="1" applyProtection="1">
      <alignment horizontal="right" vertical="top"/>
      <protection hidden="1"/>
    </xf>
    <xf numFmtId="0" fontId="12" fillId="0" borderId="0" xfId="0" applyFont="1" applyAlignment="1" applyProtection="1">
      <alignment horizontal="left" vertical="top"/>
      <protection hidden="1"/>
    </xf>
    <xf numFmtId="0" fontId="7" fillId="0" borderId="0" xfId="0" applyFont="1" applyAlignment="1">
      <alignment horizontal="right" vertical="top"/>
    </xf>
    <xf numFmtId="0" fontId="0" fillId="0" borderId="0" xfId="0" applyAlignment="1" applyProtection="1">
      <alignment wrapText="1"/>
      <protection hidden="1"/>
    </xf>
    <xf numFmtId="14" fontId="2" fillId="0" borderId="0" xfId="0" applyNumberFormat="1" applyFont="1" applyAlignment="1" applyProtection="1">
      <alignment horizontal="center"/>
      <protection hidden="1"/>
    </xf>
    <xf numFmtId="0" fontId="29" fillId="0" borderId="0" xfId="0" applyFont="1" applyProtection="1">
      <protection hidden="1"/>
    </xf>
    <xf numFmtId="4" fontId="2" fillId="0" borderId="0" xfId="0" applyNumberFormat="1" applyFont="1" applyProtection="1">
      <protection hidden="1"/>
    </xf>
    <xf numFmtId="0" fontId="30" fillId="0" borderId="0" xfId="0" applyFont="1" applyAlignment="1" applyProtection="1">
      <alignment horizontal="left"/>
      <protection hidden="1"/>
    </xf>
    <xf numFmtId="0" fontId="9" fillId="0" borderId="0" xfId="0" applyFont="1" applyAlignment="1" applyProtection="1">
      <alignment vertical="top"/>
      <protection hidden="1"/>
    </xf>
    <xf numFmtId="49" fontId="7" fillId="0" borderId="0" xfId="0" applyNumberFormat="1" applyFont="1" applyAlignment="1" applyProtection="1">
      <alignment vertical="top"/>
      <protection hidden="1"/>
    </xf>
    <xf numFmtId="0" fontId="3" fillId="0" borderId="0" xfId="0" applyFont="1" applyAlignment="1" applyProtection="1">
      <alignment horizontal="left" vertical="top"/>
      <protection hidden="1"/>
    </xf>
    <xf numFmtId="0" fontId="8" fillId="0" borderId="0" xfId="0" applyFont="1" applyAlignment="1" applyProtection="1">
      <alignment horizontal="left"/>
      <protection hidden="1"/>
    </xf>
    <xf numFmtId="0" fontId="7" fillId="0" borderId="0" xfId="0" applyFont="1" applyAlignment="1" applyProtection="1">
      <alignment horizontal="left"/>
      <protection hidden="1"/>
    </xf>
    <xf numFmtId="0" fontId="0" fillId="0" borderId="0" xfId="0" applyAlignment="1" applyProtection="1">
      <alignment horizontal="left"/>
      <protection hidden="1"/>
    </xf>
    <xf numFmtId="4" fontId="7" fillId="0" borderId="0" xfId="0" applyNumberFormat="1" applyFont="1" applyProtection="1">
      <protection hidden="1"/>
    </xf>
    <xf numFmtId="0" fontId="29" fillId="0" borderId="0" xfId="0" applyFont="1" applyAlignment="1" applyProtection="1">
      <alignment vertical="top"/>
      <protection hidden="1"/>
    </xf>
    <xf numFmtId="0" fontId="7" fillId="0" borderId="18" xfId="0" applyFont="1" applyBorder="1" applyProtection="1">
      <protection hidden="1"/>
    </xf>
    <xf numFmtId="4" fontId="7" fillId="0" borderId="18" xfId="0" applyNumberFormat="1" applyFont="1" applyBorder="1" applyProtection="1">
      <protection hidden="1"/>
    </xf>
    <xf numFmtId="43" fontId="0" fillId="0" borderId="0" xfId="1" applyFont="1" applyProtection="1">
      <protection hidden="1"/>
    </xf>
    <xf numFmtId="43" fontId="7" fillId="0" borderId="0" xfId="1" applyFont="1" applyBorder="1" applyProtection="1">
      <protection hidden="1"/>
    </xf>
    <xf numFmtId="43" fontId="7" fillId="0" borderId="0" xfId="1" applyFont="1" applyProtection="1">
      <protection hidden="1"/>
    </xf>
    <xf numFmtId="43" fontId="29" fillId="0" borderId="0" xfId="1" applyFont="1" applyBorder="1" applyProtection="1">
      <protection hidden="1"/>
    </xf>
    <xf numFmtId="43" fontId="7" fillId="0" borderId="18" xfId="1" applyFont="1" applyBorder="1" applyProtection="1">
      <protection hidden="1"/>
    </xf>
    <xf numFmtId="43" fontId="7" fillId="0" borderId="4" xfId="1" applyFont="1" applyFill="1" applyBorder="1" applyAlignment="1" applyProtection="1">
      <alignment vertical="top"/>
      <protection hidden="1"/>
    </xf>
    <xf numFmtId="43" fontId="0" fillId="0" borderId="4" xfId="1" applyFont="1" applyBorder="1" applyProtection="1">
      <protection hidden="1"/>
    </xf>
    <xf numFmtId="14" fontId="0" fillId="0" borderId="0" xfId="0" applyNumberFormat="1" applyAlignment="1" applyProtection="1">
      <alignment vertical="top" shrinkToFit="1"/>
      <protection hidden="1"/>
    </xf>
    <xf numFmtId="0" fontId="2" fillId="10" borderId="4" xfId="0" applyFont="1" applyFill="1" applyBorder="1" applyAlignment="1" applyProtection="1">
      <alignment horizontal="center"/>
      <protection hidden="1"/>
    </xf>
    <xf numFmtId="9" fontId="0" fillId="0" borderId="0" xfId="3" applyFont="1" applyProtection="1">
      <protection hidden="1"/>
    </xf>
    <xf numFmtId="10" fontId="0" fillId="0" borderId="0" xfId="3" applyNumberFormat="1" applyFont="1" applyProtection="1">
      <protection hidden="1"/>
    </xf>
    <xf numFmtId="169" fontId="0" fillId="0" borderId="0" xfId="3" applyNumberFormat="1" applyFont="1" applyProtection="1">
      <protection hidden="1"/>
    </xf>
    <xf numFmtId="4" fontId="0" fillId="0" borderId="0" xfId="0" applyNumberFormat="1" applyProtection="1">
      <protection hidden="1"/>
    </xf>
    <xf numFmtId="0" fontId="2" fillId="0" borderId="0" xfId="0" applyFont="1" applyProtection="1">
      <protection locked="0"/>
    </xf>
    <xf numFmtId="0" fontId="0" fillId="0" borderId="0" xfId="0" applyProtection="1">
      <protection locked="0"/>
    </xf>
    <xf numFmtId="0" fontId="0" fillId="0" borderId="0" xfId="0" applyAlignment="1" applyProtection="1">
      <alignment vertical="top"/>
      <protection locked="0"/>
    </xf>
    <xf numFmtId="0" fontId="1" fillId="0" borderId="0" xfId="0" applyFont="1" applyAlignment="1" applyProtection="1">
      <alignment vertical="top"/>
      <protection locked="0"/>
    </xf>
    <xf numFmtId="0" fontId="3" fillId="0" borderId="16" xfId="0" applyFont="1" applyBorder="1" applyAlignment="1">
      <alignment horizontal="right" vertical="top"/>
    </xf>
    <xf numFmtId="2" fontId="3" fillId="0" borderId="14" xfId="0" applyNumberFormat="1" applyFont="1" applyBorder="1" applyAlignment="1" applyProtection="1">
      <alignment horizontal="right" vertical="top"/>
      <protection hidden="1"/>
    </xf>
    <xf numFmtId="0" fontId="3" fillId="0" borderId="14" xfId="0" applyFont="1" applyBorder="1" applyAlignment="1">
      <alignment horizontal="right" vertical="top"/>
    </xf>
    <xf numFmtId="0" fontId="3" fillId="0" borderId="14" xfId="0" applyFont="1" applyBorder="1" applyAlignment="1" applyProtection="1">
      <alignment horizontal="right" vertical="top"/>
      <protection hidden="1"/>
    </xf>
    <xf numFmtId="172" fontId="0" fillId="0" borderId="0" xfId="0" applyNumberFormat="1" applyAlignment="1" applyProtection="1">
      <alignment horizontal="right"/>
      <protection hidden="1"/>
    </xf>
    <xf numFmtId="9" fontId="0" fillId="0" borderId="0" xfId="3" applyFont="1" applyAlignment="1" applyProtection="1">
      <alignment horizontal="right"/>
      <protection hidden="1"/>
    </xf>
    <xf numFmtId="10" fontId="0" fillId="0" borderId="0" xfId="3" applyNumberFormat="1" applyFont="1" applyAlignment="1" applyProtection="1">
      <alignment horizontal="right"/>
      <protection hidden="1"/>
    </xf>
    <xf numFmtId="0" fontId="0" fillId="0" borderId="0" xfId="0" applyAlignment="1" applyProtection="1">
      <alignment horizontal="left" vertical="top" wrapText="1"/>
      <protection hidden="1"/>
    </xf>
    <xf numFmtId="170" fontId="10" fillId="11" borderId="29" xfId="0" applyNumberFormat="1" applyFont="1" applyFill="1" applyBorder="1" applyAlignment="1" applyProtection="1">
      <alignment vertical="top"/>
      <protection hidden="1"/>
    </xf>
    <xf numFmtId="0" fontId="1" fillId="0" borderId="8" xfId="0" applyFont="1" applyBorder="1" applyProtection="1">
      <protection hidden="1"/>
    </xf>
    <xf numFmtId="0" fontId="1" fillId="0" borderId="1" xfId="0" applyFont="1" applyBorder="1" applyProtection="1">
      <protection hidden="1"/>
    </xf>
    <xf numFmtId="0" fontId="1" fillId="0" borderId="3" xfId="0" applyFont="1" applyBorder="1" applyProtection="1">
      <protection hidden="1"/>
    </xf>
    <xf numFmtId="0" fontId="1" fillId="0" borderId="7" xfId="0" applyFont="1" applyBorder="1" applyProtection="1">
      <protection hidden="1"/>
    </xf>
    <xf numFmtId="1" fontId="0" fillId="5" borderId="18" xfId="0" applyNumberFormat="1" applyFill="1" applyBorder="1" applyAlignment="1" applyProtection="1">
      <alignment horizontal="left" vertical="top"/>
      <protection locked="0"/>
    </xf>
    <xf numFmtId="0" fontId="31" fillId="0" borderId="0" xfId="0" applyFont="1" applyAlignment="1" applyProtection="1">
      <alignment vertical="top"/>
      <protection hidden="1"/>
    </xf>
    <xf numFmtId="0" fontId="2" fillId="0" borderId="0" xfId="0" applyFont="1" applyAlignment="1" applyProtection="1">
      <alignment vertical="top" wrapText="1"/>
      <protection hidden="1"/>
    </xf>
    <xf numFmtId="2" fontId="7" fillId="5" borderId="4" xfId="0" applyNumberFormat="1" applyFont="1" applyFill="1" applyBorder="1" applyAlignment="1" applyProtection="1">
      <alignment horizontal="left" vertical="top"/>
      <protection locked="0"/>
    </xf>
    <xf numFmtId="0" fontId="12" fillId="0" borderId="4" xfId="0" applyFont="1" applyBorder="1" applyAlignment="1" applyProtection="1">
      <alignment vertical="top"/>
      <protection hidden="1"/>
    </xf>
    <xf numFmtId="14" fontId="1" fillId="0" borderId="0" xfId="0" applyNumberFormat="1" applyFont="1" applyProtection="1">
      <protection locked="0"/>
    </xf>
    <xf numFmtId="2" fontId="1" fillId="0" borderId="0" xfId="0" applyNumberFormat="1" applyFont="1" applyProtection="1">
      <protection locked="0"/>
    </xf>
    <xf numFmtId="0" fontId="16" fillId="0" borderId="0" xfId="0" applyFont="1" applyProtection="1">
      <protection hidden="1"/>
    </xf>
    <xf numFmtId="0" fontId="21" fillId="0" borderId="0" xfId="0" applyFont="1" applyProtection="1">
      <protection hidden="1"/>
    </xf>
    <xf numFmtId="0" fontId="1" fillId="0" borderId="0" xfId="0" applyFont="1" applyAlignment="1" applyProtection="1">
      <alignment horizontal="right" vertical="top"/>
      <protection hidden="1"/>
    </xf>
    <xf numFmtId="0" fontId="2" fillId="0" borderId="0" xfId="0" applyFont="1" applyAlignment="1" applyProtection="1">
      <alignment horizontal="right" vertical="top"/>
      <protection hidden="1"/>
    </xf>
    <xf numFmtId="0" fontId="3" fillId="0" borderId="36" xfId="0" applyFont="1" applyBorder="1" applyAlignment="1" applyProtection="1">
      <alignment horizontal="right" vertical="top" wrapText="1"/>
      <protection hidden="1"/>
    </xf>
    <xf numFmtId="0" fontId="32" fillId="0" borderId="0" xfId="0" applyFont="1" applyAlignment="1" applyProtection="1">
      <alignment vertical="top"/>
      <protection hidden="1"/>
    </xf>
    <xf numFmtId="0" fontId="3" fillId="0" borderId="5" xfId="0" applyFont="1" applyBorder="1" applyAlignment="1" applyProtection="1">
      <alignment horizontal="right" vertical="top"/>
      <protection hidden="1"/>
    </xf>
    <xf numFmtId="0" fontId="0" fillId="0" borderId="8" xfId="0" applyBorder="1" applyAlignment="1" applyProtection="1">
      <alignment horizontal="center" vertical="top"/>
      <protection hidden="1"/>
    </xf>
    <xf numFmtId="2" fontId="7" fillId="0" borderId="0" xfId="0" applyNumberFormat="1" applyFont="1" applyAlignment="1" applyProtection="1">
      <alignment vertical="top"/>
      <protection hidden="1"/>
    </xf>
    <xf numFmtId="9" fontId="0" fillId="0" borderId="6" xfId="3" applyFont="1" applyBorder="1" applyAlignment="1" applyProtection="1">
      <protection hidden="1"/>
    </xf>
    <xf numFmtId="9" fontId="0" fillId="0" borderId="0" xfId="3" applyFont="1" applyBorder="1" applyAlignment="1" applyProtection="1">
      <protection hidden="1"/>
    </xf>
    <xf numFmtId="0" fontId="0" fillId="0" borderId="0" xfId="0" applyAlignment="1" applyProtection="1">
      <alignment horizontal="right" vertical="top" wrapText="1"/>
      <protection hidden="1"/>
    </xf>
    <xf numFmtId="2" fontId="1" fillId="0" borderId="0" xfId="0" applyNumberFormat="1" applyFont="1" applyAlignment="1" applyProtection="1">
      <alignment vertical="top"/>
      <protection hidden="1"/>
    </xf>
    <xf numFmtId="2" fontId="1" fillId="0" borderId="9" xfId="0" applyNumberFormat="1" applyFont="1" applyBorder="1" applyAlignment="1" applyProtection="1">
      <alignment vertical="top"/>
      <protection hidden="1"/>
    </xf>
    <xf numFmtId="0" fontId="1" fillId="0" borderId="0" xfId="0" applyFont="1" applyAlignment="1" applyProtection="1">
      <alignment horizontal="right" vertical="top" wrapText="1"/>
      <protection hidden="1"/>
    </xf>
    <xf numFmtId="0" fontId="25" fillId="0" borderId="0" xfId="0" applyFont="1" applyAlignment="1" applyProtection="1">
      <alignment vertical="top"/>
      <protection hidden="1"/>
    </xf>
    <xf numFmtId="0" fontId="33"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0" fillId="0" borderId="0" xfId="0" applyAlignment="1" applyProtection="1">
      <alignment horizontal="left" wrapText="1"/>
      <protection hidden="1"/>
    </xf>
    <xf numFmtId="0" fontId="10" fillId="12" borderId="0" xfId="0" applyFont="1" applyFill="1" applyAlignment="1" applyProtection="1">
      <alignment vertical="top" wrapText="1"/>
      <protection hidden="1"/>
    </xf>
    <xf numFmtId="0" fontId="10" fillId="12" borderId="0" xfId="0" applyFont="1" applyFill="1" applyAlignment="1" applyProtection="1">
      <alignment vertical="top"/>
      <protection hidden="1"/>
    </xf>
    <xf numFmtId="0" fontId="0" fillId="7" borderId="0" xfId="0" applyFill="1" applyAlignment="1" applyProtection="1">
      <alignment horizontal="left" vertical="top" wrapText="1"/>
      <protection hidden="1"/>
    </xf>
    <xf numFmtId="0" fontId="0" fillId="7" borderId="0" xfId="0" applyFill="1" applyAlignment="1">
      <alignment vertical="top"/>
    </xf>
    <xf numFmtId="0" fontId="2" fillId="7" borderId="0" xfId="0" applyFont="1" applyFill="1" applyAlignment="1">
      <alignment horizontal="right" vertical="top"/>
    </xf>
    <xf numFmtId="0" fontId="7" fillId="2" borderId="4" xfId="0" applyFont="1" applyFill="1" applyBorder="1" applyProtection="1">
      <protection hidden="1"/>
    </xf>
    <xf numFmtId="0" fontId="34" fillId="0" borderId="0" xfId="0" applyFont="1" applyAlignment="1" applyProtection="1">
      <alignment vertical="center"/>
      <protection hidden="1"/>
    </xf>
    <xf numFmtId="0" fontId="0" fillId="5" borderId="4" xfId="0" applyFill="1" applyBorder="1" applyAlignment="1" applyProtection="1">
      <alignment horizontal="left" vertical="top"/>
      <protection locked="0"/>
    </xf>
    <xf numFmtId="0" fontId="2" fillId="7" borderId="22" xfId="0" applyFont="1" applyFill="1" applyBorder="1" applyAlignment="1" applyProtection="1">
      <alignment vertical="center"/>
      <protection hidden="1"/>
    </xf>
    <xf numFmtId="0" fontId="7" fillId="0" borderId="0" xfId="0" applyFont="1" applyAlignment="1" applyProtection="1">
      <alignment vertical="center"/>
      <protection hidden="1"/>
    </xf>
    <xf numFmtId="0" fontId="31" fillId="0" borderId="37" xfId="0" applyFont="1" applyBorder="1" applyProtection="1">
      <protection hidden="1"/>
    </xf>
    <xf numFmtId="0" fontId="0" fillId="0" borderId="37" xfId="0" applyBorder="1" applyAlignment="1" applyProtection="1">
      <alignment vertical="center"/>
      <protection hidden="1"/>
    </xf>
    <xf numFmtId="0" fontId="0" fillId="0" borderId="37" xfId="0" applyBorder="1" applyAlignment="1" applyProtection="1">
      <alignment horizontal="center" vertical="center"/>
      <protection hidden="1"/>
    </xf>
    <xf numFmtId="0" fontId="0" fillId="0" borderId="37" xfId="0" applyBorder="1" applyAlignment="1" applyProtection="1">
      <alignment vertical="center" wrapText="1"/>
      <protection hidden="1"/>
    </xf>
    <xf numFmtId="0" fontId="7" fillId="0" borderId="37" xfId="0" applyFont="1" applyBorder="1" applyAlignment="1" applyProtection="1">
      <alignment vertical="center" wrapText="1"/>
      <protection hidden="1"/>
    </xf>
    <xf numFmtId="0" fontId="0" fillId="2" borderId="2" xfId="0" applyFill="1" applyBorder="1" applyAlignment="1" applyProtection="1">
      <alignment vertical="center"/>
      <protection hidden="1"/>
    </xf>
    <xf numFmtId="0" fontId="0" fillId="0" borderId="0" xfId="0" applyAlignment="1" applyProtection="1">
      <alignment vertical="center"/>
      <protection hidden="1"/>
    </xf>
    <xf numFmtId="0" fontId="0" fillId="5" borderId="2" xfId="0" applyFill="1" applyBorder="1" applyAlignment="1" applyProtection="1">
      <alignment vertical="center"/>
      <protection hidden="1"/>
    </xf>
    <xf numFmtId="0" fontId="0" fillId="0" borderId="18" xfId="0" applyBorder="1" applyAlignment="1" applyProtection="1">
      <alignment vertical="center"/>
      <protection hidden="1"/>
    </xf>
    <xf numFmtId="0" fontId="3" fillId="0" borderId="0" xfId="0" applyFont="1" applyAlignment="1" applyProtection="1">
      <alignment vertical="center"/>
      <protection hidden="1"/>
    </xf>
    <xf numFmtId="0" fontId="35" fillId="0" borderId="37" xfId="2" applyFont="1" applyBorder="1" applyAlignment="1" applyProtection="1">
      <alignment horizontal="left" vertical="center"/>
      <protection hidden="1"/>
    </xf>
    <xf numFmtId="0" fontId="35"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2" borderId="0" xfId="0" applyFont="1" applyFill="1" applyAlignment="1" applyProtection="1">
      <alignment vertical="center"/>
      <protection hidden="1"/>
    </xf>
    <xf numFmtId="0" fontId="7" fillId="0" borderId="0" xfId="0" applyFont="1" applyAlignment="1" applyProtection="1">
      <alignment horizontal="left" vertical="top"/>
      <protection locked="0"/>
    </xf>
    <xf numFmtId="0" fontId="7" fillId="0" borderId="0" xfId="2" applyFont="1" applyFill="1" applyBorder="1" applyAlignment="1" applyProtection="1">
      <alignment horizontal="left" vertical="center"/>
      <protection hidden="1"/>
    </xf>
    <xf numFmtId="0" fontId="7" fillId="0" borderId="0" xfId="2" applyFont="1" applyFill="1" applyBorder="1" applyAlignment="1" applyProtection="1">
      <alignment horizontal="left" vertical="center"/>
    </xf>
    <xf numFmtId="0" fontId="7" fillId="2" borderId="0" xfId="0" applyFont="1" applyFill="1" applyAlignment="1" applyProtection="1">
      <alignment vertical="top"/>
      <protection hidden="1"/>
    </xf>
    <xf numFmtId="0" fontId="7" fillId="2" borderId="0" xfId="0" applyFont="1" applyFill="1" applyAlignment="1" applyProtection="1">
      <alignment horizontal="right" vertical="top"/>
      <protection hidden="1"/>
    </xf>
    <xf numFmtId="0" fontId="0" fillId="2" borderId="0" xfId="0" applyFill="1" applyProtection="1">
      <protection hidden="1"/>
    </xf>
    <xf numFmtId="0" fontId="13" fillId="10" borderId="0" xfId="2" applyFill="1" applyAlignment="1" applyProtection="1">
      <alignment horizontal="center" vertical="center" wrapText="1"/>
      <protection hidden="1"/>
    </xf>
    <xf numFmtId="0" fontId="34" fillId="0" borderId="0" xfId="0" applyFont="1" applyAlignment="1" applyProtection="1">
      <alignment vertical="top"/>
      <protection hidden="1"/>
    </xf>
    <xf numFmtId="0" fontId="36" fillId="12" borderId="0" xfId="0" applyFont="1" applyFill="1" applyAlignment="1" applyProtection="1">
      <alignment vertical="top"/>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35" fillId="0" borderId="0" xfId="2" applyFont="1" applyBorder="1" applyAlignment="1" applyProtection="1">
      <alignment vertical="top"/>
      <protection hidden="1"/>
    </xf>
    <xf numFmtId="0" fontId="0" fillId="2" borderId="0" xfId="0" applyFill="1" applyAlignment="1" applyProtection="1">
      <alignment vertical="top" wrapText="1"/>
      <protection hidden="1"/>
    </xf>
    <xf numFmtId="0" fontId="0" fillId="2" borderId="0" xfId="0" applyFill="1"/>
    <xf numFmtId="0" fontId="2" fillId="2" borderId="0" xfId="0" applyFont="1" applyFill="1" applyAlignment="1" applyProtection="1">
      <alignment vertical="top"/>
      <protection hidden="1"/>
    </xf>
    <xf numFmtId="14" fontId="7" fillId="0" borderId="0" xfId="0" applyNumberFormat="1" applyFont="1" applyAlignment="1" applyProtection="1">
      <alignment horizontal="left" vertical="top"/>
      <protection hidden="1"/>
    </xf>
    <xf numFmtId="14" fontId="7" fillId="0" borderId="0" xfId="0" applyNumberFormat="1" applyFont="1" applyAlignment="1" applyProtection="1">
      <alignment vertical="top"/>
      <protection hidden="1"/>
    </xf>
    <xf numFmtId="0" fontId="7" fillId="0" borderId="0" xfId="2" applyFont="1" applyFill="1" applyBorder="1" applyAlignment="1" applyProtection="1">
      <alignment vertical="top"/>
      <protection hidden="1"/>
    </xf>
    <xf numFmtId="2" fontId="7" fillId="0" borderId="0" xfId="0" applyNumberFormat="1" applyFont="1" applyAlignment="1" applyProtection="1">
      <alignment horizontal="left" vertical="top"/>
      <protection locked="0"/>
    </xf>
    <xf numFmtId="10" fontId="1" fillId="0" borderId="38" xfId="0" applyNumberFormat="1" applyFont="1" applyBorder="1" applyAlignment="1">
      <alignment horizontal="left" vertical="top"/>
    </xf>
    <xf numFmtId="0" fontId="29" fillId="0" borderId="0" xfId="0" applyFont="1" applyAlignment="1" applyProtection="1">
      <alignment horizontal="center" vertical="center"/>
      <protection locked="0"/>
    </xf>
    <xf numFmtId="14" fontId="7" fillId="0" borderId="0" xfId="0" applyNumberFormat="1" applyFont="1" applyAlignment="1" applyProtection="1">
      <alignment horizontal="left" vertical="top"/>
      <protection locked="0"/>
    </xf>
    <xf numFmtId="1" fontId="7" fillId="0" borderId="0" xfId="0" applyNumberFormat="1" applyFont="1" applyAlignment="1" applyProtection="1">
      <alignment horizontal="left" vertical="top"/>
      <protection locked="0"/>
    </xf>
    <xf numFmtId="2" fontId="7" fillId="0" borderId="0" xfId="0" applyNumberFormat="1" applyFont="1" applyAlignment="1" applyProtection="1">
      <alignment horizontal="right" vertical="top"/>
      <protection hidden="1"/>
    </xf>
    <xf numFmtId="9" fontId="7" fillId="0" borderId="0" xfId="3" applyFont="1" applyFill="1" applyBorder="1" applyAlignment="1" applyProtection="1">
      <alignment horizontal="left" vertical="top"/>
      <protection hidden="1"/>
    </xf>
    <xf numFmtId="4" fontId="7" fillId="0" borderId="0" xfId="0" applyNumberFormat="1" applyFont="1" applyAlignment="1" applyProtection="1">
      <alignment vertical="top"/>
      <protection hidden="1"/>
    </xf>
    <xf numFmtId="173" fontId="7" fillId="0" borderId="0" xfId="1" applyNumberFormat="1" applyFont="1" applyFill="1" applyBorder="1" applyAlignment="1" applyProtection="1">
      <alignment horizontal="left" vertical="top"/>
      <protection locked="0"/>
    </xf>
    <xf numFmtId="10" fontId="7" fillId="0" borderId="0" xfId="3" applyNumberFormat="1" applyFont="1" applyFill="1" applyBorder="1" applyAlignment="1" applyProtection="1">
      <alignment horizontal="left" vertical="top"/>
      <protection hidden="1"/>
    </xf>
    <xf numFmtId="9" fontId="7" fillId="0" borderId="0" xfId="3" applyFont="1" applyFill="1" applyBorder="1" applyAlignment="1" applyProtection="1">
      <alignment horizontal="left" vertical="top"/>
      <protection locked="0"/>
    </xf>
    <xf numFmtId="49" fontId="7" fillId="0" borderId="0" xfId="0" applyNumberFormat="1" applyFont="1" applyAlignment="1" applyProtection="1">
      <alignment horizontal="left" vertical="top"/>
      <protection locked="0"/>
    </xf>
    <xf numFmtId="175" fontId="7" fillId="0" borderId="0" xfId="0" applyNumberFormat="1" applyFont="1" applyAlignment="1" applyProtection="1">
      <alignment horizontal="left" vertical="top"/>
      <protection locked="0"/>
    </xf>
    <xf numFmtId="4" fontId="7" fillId="0" borderId="0" xfId="0" applyNumberFormat="1" applyFont="1" applyAlignment="1" applyProtection="1">
      <alignment horizontal="left" vertical="top"/>
      <protection locked="0"/>
    </xf>
    <xf numFmtId="9" fontId="7" fillId="0" borderId="0" xfId="0" applyNumberFormat="1" applyFont="1" applyAlignment="1" applyProtection="1">
      <alignment horizontal="left" vertical="top"/>
      <protection hidden="1"/>
    </xf>
    <xf numFmtId="0" fontId="7" fillId="0" borderId="0" xfId="3" applyNumberFormat="1" applyFont="1" applyFill="1" applyBorder="1" applyAlignment="1" applyProtection="1">
      <alignment horizontal="left" vertical="top"/>
      <protection locked="0"/>
    </xf>
    <xf numFmtId="9" fontId="7" fillId="0" borderId="0" xfId="0" applyNumberFormat="1" applyFont="1" applyAlignment="1" applyProtection="1">
      <alignment vertical="top"/>
      <protection hidden="1"/>
    </xf>
    <xf numFmtId="0" fontId="0" fillId="5" borderId="0" xfId="0" applyFill="1" applyProtection="1">
      <protection hidden="1"/>
    </xf>
    <xf numFmtId="0" fontId="1" fillId="0" borderId="11" xfId="0" applyFont="1" applyBorder="1" applyProtection="1">
      <protection hidden="1"/>
    </xf>
    <xf numFmtId="0" fontId="1" fillId="0" borderId="12" xfId="0" applyFont="1" applyBorder="1" applyProtection="1">
      <protection hidden="1"/>
    </xf>
    <xf numFmtId="9" fontId="0" fillId="0" borderId="26" xfId="0" applyNumberFormat="1" applyBorder="1" applyAlignment="1" applyProtection="1">
      <alignment horizontal="left" vertical="top" wrapText="1"/>
      <protection hidden="1"/>
    </xf>
    <xf numFmtId="0" fontId="13" fillId="10" borderId="0" xfId="2" applyFill="1" applyAlignment="1" applyProtection="1">
      <alignment horizontal="centerContinuous" vertical="top"/>
      <protection hidden="1"/>
    </xf>
    <xf numFmtId="0" fontId="13" fillId="10" borderId="0" xfId="2" applyFill="1" applyAlignment="1" applyProtection="1">
      <alignment horizontal="centerContinuous" vertical="center"/>
      <protection hidden="1"/>
    </xf>
    <xf numFmtId="0" fontId="3" fillId="0" borderId="39" xfId="0" applyFont="1" applyBorder="1" applyAlignment="1" applyProtection="1">
      <alignment vertical="top"/>
      <protection hidden="1"/>
    </xf>
    <xf numFmtId="0" fontId="0" fillId="0" borderId="14" xfId="0" applyBorder="1" applyAlignment="1" applyProtection="1">
      <alignment horizontal="right" vertical="top"/>
      <protection hidden="1"/>
    </xf>
    <xf numFmtId="2" fontId="0" fillId="0" borderId="31" xfId="0" applyNumberFormat="1" applyBorder="1" applyAlignment="1" applyProtection="1">
      <alignment vertical="top"/>
      <protection hidden="1"/>
    </xf>
    <xf numFmtId="180" fontId="7" fillId="0" borderId="0" xfId="0" applyNumberFormat="1" applyFont="1" applyAlignment="1" applyProtection="1">
      <alignment horizontal="right" vertical="top"/>
      <protection hidden="1"/>
    </xf>
    <xf numFmtId="0" fontId="1" fillId="0" borderId="0" xfId="0" applyFont="1" applyAlignment="1" applyProtection="1">
      <alignment horizontal="center" vertical="top"/>
      <protection hidden="1"/>
    </xf>
    <xf numFmtId="0" fontId="35" fillId="0" borderId="40" xfId="2" applyFont="1" applyBorder="1" applyAlignment="1" applyProtection="1">
      <alignment vertical="top"/>
    </xf>
    <xf numFmtId="0" fontId="35" fillId="0" borderId="0" xfId="2" applyFont="1" applyFill="1" applyBorder="1" applyAlignment="1" applyProtection="1"/>
    <xf numFmtId="0" fontId="35" fillId="0" borderId="0" xfId="2" applyFont="1" applyAlignment="1" applyProtection="1"/>
    <xf numFmtId="0" fontId="0" fillId="0" borderId="27" xfId="0" applyBorder="1" applyAlignment="1" applyProtection="1">
      <alignment horizontal="center" textRotation="90" wrapText="1"/>
      <protection hidden="1"/>
    </xf>
    <xf numFmtId="0" fontId="7" fillId="0" borderId="0" xfId="0" applyFont="1" applyAlignment="1" applyProtection="1">
      <alignment horizontal="right" vertical="center"/>
      <protection hidden="1"/>
    </xf>
    <xf numFmtId="0" fontId="7" fillId="0" borderId="0" xfId="0" applyFont="1" applyAlignment="1" applyProtection="1">
      <alignment horizontal="right" vertical="center" wrapText="1"/>
      <protection hidden="1"/>
    </xf>
    <xf numFmtId="166" fontId="7" fillId="0" borderId="0" xfId="0" applyNumberFormat="1" applyFont="1" applyAlignment="1" applyProtection="1">
      <alignment horizontal="left" vertical="top"/>
      <protection hidden="1"/>
    </xf>
    <xf numFmtId="4" fontId="0" fillId="0" borderId="0" xfId="0" applyNumberFormat="1" applyAlignment="1" applyProtection="1">
      <alignment horizontal="left" vertical="top"/>
      <protection hidden="1"/>
    </xf>
    <xf numFmtId="2" fontId="9" fillId="0" borderId="0" xfId="0" applyNumberFormat="1" applyFont="1" applyAlignment="1" applyProtection="1">
      <alignment vertical="top"/>
      <protection hidden="1"/>
    </xf>
    <xf numFmtId="4" fontId="0" fillId="0" borderId="0" xfId="0" applyNumberFormat="1" applyAlignment="1" applyProtection="1">
      <alignment horizontal="right" vertical="top"/>
      <protection hidden="1"/>
    </xf>
    <xf numFmtId="168" fontId="7" fillId="0" borderId="0" xfId="0" applyNumberFormat="1" applyFont="1" applyAlignment="1" applyProtection="1">
      <alignment horizontal="left" vertical="top"/>
      <protection hidden="1"/>
    </xf>
    <xf numFmtId="4" fontId="9" fillId="0" borderId="0" xfId="0" applyNumberFormat="1" applyFont="1" applyAlignment="1" applyProtection="1">
      <alignment vertical="top"/>
      <protection hidden="1"/>
    </xf>
    <xf numFmtId="167" fontId="7" fillId="0" borderId="0" xfId="0" applyNumberFormat="1" applyFont="1" applyAlignment="1" applyProtection="1">
      <alignment horizontal="left" vertical="top"/>
      <protection hidden="1"/>
    </xf>
    <xf numFmtId="4" fontId="9" fillId="0" borderId="0" xfId="0" applyNumberFormat="1" applyFont="1" applyAlignment="1" applyProtection="1">
      <alignment horizontal="right" vertical="top"/>
      <protection hidden="1"/>
    </xf>
    <xf numFmtId="4" fontId="9" fillId="0" borderId="0" xfId="0" applyNumberFormat="1" applyFont="1" applyAlignment="1" applyProtection="1">
      <alignment horizontal="left" vertical="top"/>
      <protection hidden="1"/>
    </xf>
    <xf numFmtId="176" fontId="7" fillId="0" borderId="0" xfId="3" applyNumberFormat="1" applyFont="1" applyFill="1" applyBorder="1" applyAlignment="1" applyProtection="1">
      <alignment horizontal="right" vertical="top"/>
      <protection hidden="1"/>
    </xf>
    <xf numFmtId="10" fontId="7" fillId="0" borderId="0" xfId="0" applyNumberFormat="1" applyFont="1" applyAlignment="1" applyProtection="1">
      <alignment horizontal="right" vertical="top"/>
      <protection hidden="1"/>
    </xf>
    <xf numFmtId="4" fontId="2" fillId="0" borderId="0" xfId="0" applyNumberFormat="1" applyFont="1" applyAlignment="1" applyProtection="1">
      <alignment vertical="top"/>
      <protection hidden="1"/>
    </xf>
    <xf numFmtId="10" fontId="7" fillId="0" borderId="0" xfId="0" applyNumberFormat="1" applyFont="1" applyAlignment="1" applyProtection="1">
      <alignment vertical="top"/>
      <protection hidden="1"/>
    </xf>
    <xf numFmtId="169" fontId="7" fillId="0" borderId="0" xfId="0" applyNumberFormat="1" applyFont="1" applyAlignment="1" applyProtection="1">
      <alignment horizontal="left" vertical="top"/>
      <protection hidden="1"/>
    </xf>
    <xf numFmtId="169" fontId="7" fillId="0" borderId="0" xfId="0" applyNumberFormat="1" applyFont="1" applyAlignment="1" applyProtection="1">
      <alignment vertical="top"/>
      <protection hidden="1"/>
    </xf>
    <xf numFmtId="0" fontId="1" fillId="0" borderId="0" xfId="2" applyFont="1" applyFill="1" applyBorder="1" applyAlignment="1" applyProtection="1">
      <alignment vertical="top"/>
      <protection hidden="1"/>
    </xf>
    <xf numFmtId="14" fontId="1" fillId="0" borderId="0" xfId="0" applyNumberFormat="1" applyFont="1" applyAlignment="1" applyProtection="1">
      <alignment vertical="top"/>
      <protection hidden="1"/>
    </xf>
    <xf numFmtId="0" fontId="38" fillId="0" borderId="0" xfId="0" applyFont="1" applyProtection="1">
      <protection hidden="1"/>
    </xf>
    <xf numFmtId="0" fontId="38" fillId="0" borderId="0" xfId="0" applyFont="1" applyAlignment="1" applyProtection="1">
      <alignment vertical="top"/>
      <protection hidden="1"/>
    </xf>
    <xf numFmtId="0" fontId="1" fillId="0" borderId="0" xfId="0" applyFont="1" applyAlignment="1" applyProtection="1">
      <alignment horizontal="left"/>
      <protection hidden="1"/>
    </xf>
    <xf numFmtId="0" fontId="1" fillId="0" borderId="0" xfId="0" applyFont="1" applyAlignment="1" applyProtection="1">
      <alignment horizontal="right"/>
      <protection hidden="1"/>
    </xf>
    <xf numFmtId="164" fontId="1" fillId="0" borderId="0" xfId="0" applyNumberFormat="1" applyFont="1" applyAlignment="1" applyProtection="1">
      <alignment vertical="top"/>
      <protection hidden="1"/>
    </xf>
    <xf numFmtId="172" fontId="1" fillId="0" borderId="0" xfId="0" applyNumberFormat="1" applyFont="1" applyAlignment="1" applyProtection="1">
      <alignment horizontal="left" vertical="top"/>
      <protection hidden="1"/>
    </xf>
    <xf numFmtId="172" fontId="1" fillId="0" borderId="0" xfId="0" applyNumberFormat="1" applyFont="1" applyAlignment="1" applyProtection="1">
      <alignment vertical="top"/>
      <protection hidden="1"/>
    </xf>
    <xf numFmtId="0" fontId="1" fillId="0" borderId="0" xfId="0" applyFont="1" applyAlignment="1" applyProtection="1">
      <alignment horizontal="left" vertical="top"/>
      <protection hidden="1"/>
    </xf>
    <xf numFmtId="49" fontId="1" fillId="0" borderId="0" xfId="0" applyNumberFormat="1" applyFont="1" applyAlignment="1" applyProtection="1">
      <alignment horizontal="right" vertical="top"/>
      <protection hidden="1"/>
    </xf>
    <xf numFmtId="174" fontId="1" fillId="0" borderId="0" xfId="0" applyNumberFormat="1" applyFont="1" applyAlignment="1" applyProtection="1">
      <alignment horizontal="right" vertical="top"/>
      <protection hidden="1"/>
    </xf>
    <xf numFmtId="4" fontId="1" fillId="0" borderId="0" xfId="0" applyNumberFormat="1" applyFont="1" applyAlignment="1" applyProtection="1">
      <alignment horizontal="right" vertical="top"/>
      <protection hidden="1"/>
    </xf>
    <xf numFmtId="165" fontId="1" fillId="0" borderId="0" xfId="0" applyNumberFormat="1" applyFont="1" applyAlignment="1" applyProtection="1">
      <alignment horizontal="center" vertical="top"/>
      <protection hidden="1"/>
    </xf>
    <xf numFmtId="0" fontId="40" fillId="0" borderId="0" xfId="0" applyFont="1" applyAlignment="1" applyProtection="1">
      <alignment vertical="top"/>
      <protection hidden="1"/>
    </xf>
    <xf numFmtId="0" fontId="39" fillId="0" borderId="0" xfId="0" applyFont="1" applyAlignment="1" applyProtection="1">
      <alignment vertical="top"/>
      <protection hidden="1"/>
    </xf>
    <xf numFmtId="0" fontId="39" fillId="0" borderId="0" xfId="0" applyFont="1" applyAlignment="1" applyProtection="1">
      <alignment horizontal="left" vertical="top"/>
      <protection hidden="1"/>
    </xf>
    <xf numFmtId="0" fontId="10" fillId="0" borderId="0" xfId="0" applyFont="1" applyAlignment="1" applyProtection="1">
      <alignment vertical="top"/>
      <protection hidden="1"/>
    </xf>
    <xf numFmtId="0" fontId="10" fillId="0" borderId="0" xfId="0" applyFont="1" applyAlignment="1" applyProtection="1">
      <alignment vertical="center"/>
      <protection hidden="1"/>
    </xf>
    <xf numFmtId="0" fontId="30" fillId="12" borderId="0" xfId="0" applyFont="1" applyFill="1" applyAlignment="1" applyProtection="1">
      <alignment vertical="center"/>
      <protection hidden="1"/>
    </xf>
    <xf numFmtId="0" fontId="10" fillId="12" borderId="0" xfId="0" applyFont="1" applyFill="1" applyAlignment="1" applyProtection="1">
      <alignment vertical="center"/>
      <protection hidden="1"/>
    </xf>
    <xf numFmtId="0" fontId="30" fillId="12" borderId="0" xfId="0" applyFont="1" applyFill="1" applyAlignment="1" applyProtection="1">
      <alignment horizontal="right" vertical="center"/>
      <protection hidden="1"/>
    </xf>
    <xf numFmtId="0" fontId="10" fillId="12" borderId="0" xfId="0" applyFont="1" applyFill="1" applyAlignment="1" applyProtection="1">
      <alignment horizontal="center" vertical="center"/>
      <protection hidden="1"/>
    </xf>
    <xf numFmtId="0" fontId="10" fillId="12" borderId="0" xfId="0" applyFont="1" applyFill="1" applyAlignment="1">
      <alignment vertical="center"/>
    </xf>
    <xf numFmtId="0" fontId="30" fillId="12" borderId="0" xfId="0" applyFont="1" applyFill="1" applyAlignment="1" applyProtection="1">
      <alignment horizontal="left" vertical="center"/>
      <protection hidden="1"/>
    </xf>
    <xf numFmtId="0" fontId="10" fillId="12" borderId="5" xfId="0" applyFont="1"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29" xfId="0" applyFont="1" applyFill="1" applyBorder="1" applyAlignment="1" applyProtection="1">
      <alignment vertical="center"/>
      <protection hidden="1"/>
    </xf>
    <xf numFmtId="0" fontId="10" fillId="12" borderId="6" xfId="0" applyFont="1" applyFill="1" applyBorder="1" applyAlignment="1" applyProtection="1">
      <alignment horizontal="center" vertical="center"/>
      <protection hidden="1"/>
    </xf>
    <xf numFmtId="0" fontId="10" fillId="12" borderId="0" xfId="0" applyFont="1" applyFill="1" applyAlignment="1" applyProtection="1">
      <alignment horizontal="right" vertical="center"/>
      <protection hidden="1"/>
    </xf>
    <xf numFmtId="0" fontId="10" fillId="12" borderId="5" xfId="0" applyFont="1" applyFill="1" applyBorder="1" applyAlignment="1" applyProtection="1">
      <alignment horizontal="right" vertical="center"/>
      <protection hidden="1"/>
    </xf>
    <xf numFmtId="2" fontId="10" fillId="12" borderId="0" xfId="0" applyNumberFormat="1" applyFont="1" applyFill="1" applyAlignment="1" applyProtection="1">
      <alignment vertical="center"/>
      <protection hidden="1"/>
    </xf>
    <xf numFmtId="2" fontId="10" fillId="12" borderId="6" xfId="0" applyNumberFormat="1" applyFont="1" applyFill="1" applyBorder="1" applyAlignment="1" applyProtection="1">
      <alignment vertical="center"/>
      <protection hidden="1"/>
    </xf>
    <xf numFmtId="0" fontId="0" fillId="12" borderId="0" xfId="0" applyFill="1" applyAlignment="1">
      <alignment horizontal="left" vertical="center"/>
    </xf>
    <xf numFmtId="0" fontId="41" fillId="0" borderId="0" xfId="0" applyFont="1" applyAlignment="1" applyProtection="1">
      <alignment vertical="top"/>
      <protection hidden="1"/>
    </xf>
    <xf numFmtId="0" fontId="39" fillId="0" borderId="14" xfId="0" applyFont="1" applyBorder="1" applyAlignment="1" applyProtection="1">
      <alignment vertical="top" wrapText="1"/>
      <protection hidden="1"/>
    </xf>
    <xf numFmtId="0" fontId="39" fillId="0" borderId="14" xfId="0" applyFont="1" applyBorder="1" applyAlignment="1">
      <alignment horizontal="left" vertical="top" wrapText="1"/>
    </xf>
    <xf numFmtId="0" fontId="39" fillId="0" borderId="14" xfId="0" applyFont="1" applyBorder="1" applyAlignment="1" applyProtection="1">
      <alignment vertical="top"/>
      <protection hidden="1"/>
    </xf>
    <xf numFmtId="0" fontId="25" fillId="0" borderId="41" xfId="0" applyFont="1" applyBorder="1" applyAlignment="1" applyProtection="1">
      <alignment vertical="top"/>
      <protection hidden="1"/>
    </xf>
    <xf numFmtId="0" fontId="39" fillId="0" borderId="39" xfId="0" applyFont="1" applyBorder="1" applyAlignment="1" applyProtection="1">
      <alignment vertical="top" wrapText="1"/>
      <protection hidden="1"/>
    </xf>
    <xf numFmtId="0" fontId="3" fillId="0" borderId="20" xfId="0" applyFont="1" applyBorder="1" applyAlignment="1" applyProtection="1">
      <alignment horizontal="left" vertical="top" wrapText="1"/>
      <protection hidden="1"/>
    </xf>
    <xf numFmtId="0" fontId="3" fillId="0" borderId="0" xfId="0" applyFont="1" applyAlignment="1" applyProtection="1">
      <alignment vertical="center" wrapText="1"/>
      <protection hidden="1"/>
    </xf>
    <xf numFmtId="0" fontId="0" fillId="10" borderId="0" xfId="0" applyFill="1" applyAlignment="1" applyProtection="1">
      <alignment horizontal="center" vertical="top"/>
      <protection hidden="1"/>
    </xf>
    <xf numFmtId="0" fontId="7" fillId="10" borderId="0" xfId="0" applyFont="1" applyFill="1" applyAlignment="1" applyProtection="1">
      <alignment horizontal="center" vertical="top"/>
      <protection hidden="1"/>
    </xf>
    <xf numFmtId="170" fontId="0" fillId="10" borderId="0" xfId="0" applyNumberFormat="1" applyFill="1" applyAlignment="1" applyProtection="1">
      <alignment vertical="top"/>
      <protection hidden="1"/>
    </xf>
    <xf numFmtId="2" fontId="0" fillId="10" borderId="0" xfId="0" applyNumberFormat="1" applyFill="1" applyAlignment="1" applyProtection="1">
      <alignment vertical="top"/>
      <protection hidden="1"/>
    </xf>
    <xf numFmtId="4" fontId="0" fillId="10" borderId="0" xfId="0" applyNumberFormat="1" applyFill="1" applyAlignment="1" applyProtection="1">
      <alignment vertical="top"/>
      <protection hidden="1"/>
    </xf>
    <xf numFmtId="4" fontId="2" fillId="10" borderId="28" xfId="0" applyNumberFormat="1" applyFont="1" applyFill="1" applyBorder="1" applyAlignment="1" applyProtection="1">
      <alignment vertical="top"/>
      <protection hidden="1"/>
    </xf>
    <xf numFmtId="0" fontId="39" fillId="0" borderId="13" xfId="0" applyFont="1" applyBorder="1" applyAlignment="1" applyProtection="1">
      <alignment horizontal="left" vertical="top"/>
      <protection hidden="1"/>
    </xf>
    <xf numFmtId="0" fontId="31" fillId="0" borderId="37" xfId="0" applyFont="1" applyBorder="1" applyAlignment="1" applyProtection="1">
      <alignment horizontal="center"/>
      <protection hidden="1"/>
    </xf>
    <xf numFmtId="0" fontId="7" fillId="0" borderId="42" xfId="0" applyFont="1" applyBorder="1" applyAlignment="1" applyProtection="1">
      <alignment vertical="top"/>
      <protection hidden="1"/>
    </xf>
    <xf numFmtId="0" fontId="0" fillId="0" borderId="38" xfId="0" applyBorder="1" applyProtection="1">
      <protection hidden="1"/>
    </xf>
    <xf numFmtId="0" fontId="7" fillId="13" borderId="42" xfId="0" applyFont="1" applyFill="1" applyBorder="1" applyAlignment="1" applyProtection="1">
      <alignment vertical="top"/>
      <protection hidden="1"/>
    </xf>
    <xf numFmtId="0" fontId="3" fillId="0" borderId="42" xfId="0" applyFont="1" applyBorder="1" applyAlignment="1" applyProtection="1">
      <alignment vertical="top"/>
      <protection hidden="1"/>
    </xf>
    <xf numFmtId="0" fontId="7" fillId="0" borderId="42" xfId="0" applyFont="1" applyBorder="1" applyAlignment="1" applyProtection="1">
      <alignment horizontal="left" vertical="top"/>
      <protection hidden="1"/>
    </xf>
    <xf numFmtId="0" fontId="3" fillId="13" borderId="42" xfId="0" applyFont="1" applyFill="1" applyBorder="1" applyAlignment="1" applyProtection="1">
      <alignment vertical="top"/>
      <protection hidden="1"/>
    </xf>
    <xf numFmtId="0" fontId="34" fillId="0" borderId="0" xfId="0" applyFont="1" applyProtection="1">
      <protection hidden="1"/>
    </xf>
    <xf numFmtId="0" fontId="2" fillId="2" borderId="0" xfId="0" applyFont="1" applyFill="1" applyProtection="1">
      <protection hidden="1"/>
    </xf>
    <xf numFmtId="0" fontId="1" fillId="0" borderId="0" xfId="1" applyNumberFormat="1" applyFont="1" applyFill="1" applyBorder="1" applyAlignment="1" applyProtection="1">
      <alignment vertical="top"/>
      <protection hidden="1"/>
    </xf>
    <xf numFmtId="0" fontId="34" fillId="0" borderId="0" xfId="0" applyFont="1" applyProtection="1">
      <protection locked="0"/>
    </xf>
    <xf numFmtId="0" fontId="3" fillId="0" borderId="0" xfId="0" applyFont="1" applyProtection="1">
      <protection locked="0"/>
    </xf>
    <xf numFmtId="0" fontId="8" fillId="0" borderId="0" xfId="0" applyFont="1" applyAlignment="1" applyProtection="1">
      <alignment vertical="top"/>
      <protection locked="0"/>
    </xf>
    <xf numFmtId="0" fontId="1" fillId="2" borderId="44" xfId="0" applyFont="1" applyFill="1" applyBorder="1" applyAlignment="1" applyProtection="1">
      <alignment vertical="top"/>
      <protection locked="0"/>
    </xf>
    <xf numFmtId="0" fontId="0" fillId="2" borderId="44" xfId="0" applyFill="1" applyBorder="1" applyAlignment="1" applyProtection="1">
      <alignment vertical="top"/>
      <protection locked="0"/>
    </xf>
    <xf numFmtId="2" fontId="0" fillId="2" borderId="44" xfId="0" applyNumberFormat="1" applyFill="1" applyBorder="1" applyAlignment="1" applyProtection="1">
      <alignment vertical="top"/>
      <protection locked="0"/>
    </xf>
    <xf numFmtId="1" fontId="0" fillId="2" borderId="44" xfId="0" applyNumberFormat="1" applyFill="1" applyBorder="1" applyAlignment="1" applyProtection="1">
      <alignment vertical="top"/>
      <protection locked="0"/>
    </xf>
    <xf numFmtId="1" fontId="0" fillId="2" borderId="45" xfId="0" applyNumberFormat="1" applyFill="1" applyBorder="1" applyAlignment="1" applyProtection="1">
      <alignment vertical="top"/>
      <protection locked="0"/>
    </xf>
    <xf numFmtId="0" fontId="3" fillId="0" borderId="0" xfId="0" applyFont="1" applyAlignment="1" applyProtection="1">
      <alignment horizontal="left" indent="1"/>
      <protection hidden="1"/>
    </xf>
    <xf numFmtId="0" fontId="8" fillId="0" borderId="0" xfId="0" applyFont="1" applyAlignment="1" applyProtection="1">
      <alignment vertical="top"/>
      <protection hidden="1"/>
    </xf>
    <xf numFmtId="0" fontId="8" fillId="0" borderId="0" xfId="0" applyFont="1" applyProtection="1">
      <protection hidden="1"/>
    </xf>
    <xf numFmtId="0" fontId="1" fillId="2" borderId="0" xfId="0" applyFont="1" applyFill="1" applyProtection="1">
      <protection hidden="1"/>
    </xf>
    <xf numFmtId="0" fontId="1" fillId="0" borderId="14" xfId="0" applyFont="1" applyBorder="1" applyAlignment="1" applyProtection="1">
      <alignment vertical="top"/>
      <protection hidden="1"/>
    </xf>
    <xf numFmtId="0" fontId="1" fillId="0" borderId="46" xfId="0" applyFont="1" applyBorder="1" applyAlignment="1" applyProtection="1">
      <alignment vertical="top"/>
      <protection hidden="1"/>
    </xf>
    <xf numFmtId="0" fontId="0" fillId="0" borderId="46" xfId="0" applyBorder="1" applyAlignment="1" applyProtection="1">
      <alignment vertical="top"/>
      <protection hidden="1"/>
    </xf>
    <xf numFmtId="2" fontId="1" fillId="7" borderId="43" xfId="0" applyNumberFormat="1" applyFont="1" applyFill="1" applyBorder="1" applyAlignment="1" applyProtection="1">
      <alignment horizontal="right" vertical="top"/>
      <protection hidden="1"/>
    </xf>
    <xf numFmtId="2" fontId="1" fillId="7" borderId="44" xfId="0" applyNumberFormat="1" applyFont="1" applyFill="1" applyBorder="1" applyAlignment="1" applyProtection="1">
      <alignment horizontal="right" vertical="top"/>
      <protection hidden="1"/>
    </xf>
    <xf numFmtId="0" fontId="0" fillId="7" borderId="44" xfId="0" applyFill="1" applyBorder="1" applyAlignment="1" applyProtection="1">
      <alignment horizontal="right" vertical="top"/>
      <protection hidden="1"/>
    </xf>
    <xf numFmtId="2" fontId="0" fillId="7" borderId="44" xfId="0" applyNumberFormat="1" applyFill="1" applyBorder="1" applyAlignment="1" applyProtection="1">
      <alignment horizontal="right" vertical="top"/>
      <protection hidden="1"/>
    </xf>
    <xf numFmtId="0" fontId="0" fillId="7" borderId="45" xfId="0" applyFill="1" applyBorder="1" applyAlignment="1" applyProtection="1">
      <alignment horizontal="right" vertical="top"/>
      <protection hidden="1"/>
    </xf>
    <xf numFmtId="0" fontId="12" fillId="0" borderId="0" xfId="0" applyFont="1" applyAlignment="1">
      <alignment vertical="top"/>
    </xf>
    <xf numFmtId="10" fontId="12" fillId="0" borderId="4" xfId="0" applyNumberFormat="1" applyFont="1" applyBorder="1" applyAlignment="1">
      <alignment vertical="top"/>
    </xf>
    <xf numFmtId="10" fontId="1" fillId="0" borderId="0" xfId="0" applyNumberFormat="1" applyFont="1" applyAlignment="1">
      <alignment horizontal="left" vertical="top"/>
    </xf>
    <xf numFmtId="9" fontId="1" fillId="0" borderId="0" xfId="3" applyFont="1" applyFill="1" applyBorder="1" applyAlignment="1" applyProtection="1">
      <alignment vertical="top"/>
      <protection hidden="1"/>
    </xf>
    <xf numFmtId="9" fontId="1" fillId="0" borderId="0" xfId="3" applyFont="1" applyBorder="1" applyAlignment="1" applyProtection="1">
      <protection hidden="1"/>
    </xf>
    <xf numFmtId="9" fontId="1" fillId="0" borderId="6" xfId="3" applyFont="1" applyBorder="1" applyAlignment="1" applyProtection="1">
      <protection hidden="1"/>
    </xf>
    <xf numFmtId="9" fontId="1" fillId="0" borderId="5" xfId="3" applyFont="1" applyBorder="1" applyAlignment="1" applyProtection="1">
      <alignment horizontal="center" vertical="top"/>
      <protection hidden="1"/>
    </xf>
    <xf numFmtId="9" fontId="1" fillId="0" borderId="7" xfId="3" applyFont="1" applyBorder="1" applyAlignment="1" applyProtection="1">
      <alignment horizontal="center" vertical="top"/>
      <protection hidden="1"/>
    </xf>
    <xf numFmtId="176" fontId="1" fillId="0" borderId="0" xfId="3" applyNumberFormat="1" applyFont="1" applyFill="1" applyAlignment="1">
      <alignment horizontal="right" vertical="top"/>
    </xf>
    <xf numFmtId="164" fontId="26" fillId="4" borderId="0" xfId="0" applyNumberFormat="1" applyFont="1" applyFill="1" applyAlignment="1" applyProtection="1">
      <alignment vertical="top" shrinkToFit="1"/>
      <protection hidden="1"/>
    </xf>
    <xf numFmtId="2" fontId="7" fillId="0" borderId="4" xfId="0" applyNumberFormat="1" applyFont="1" applyBorder="1" applyAlignment="1" applyProtection="1">
      <alignment vertical="top"/>
      <protection locked="0"/>
    </xf>
    <xf numFmtId="0" fontId="1" fillId="5" borderId="0" xfId="0" applyFont="1" applyFill="1" applyProtection="1">
      <protection hidden="1"/>
    </xf>
    <xf numFmtId="0" fontId="2" fillId="5" borderId="0" xfId="0" applyFont="1" applyFill="1" applyAlignment="1" applyProtection="1">
      <alignment vertical="top"/>
      <protection hidden="1"/>
    </xf>
    <xf numFmtId="0" fontId="7" fillId="5" borderId="0" xfId="0" applyFont="1" applyFill="1" applyAlignment="1" applyProtection="1">
      <alignment vertical="top" wrapText="1"/>
      <protection hidden="1"/>
    </xf>
    <xf numFmtId="0" fontId="7" fillId="5" borderId="0" xfId="0" applyFont="1" applyFill="1" applyAlignment="1" applyProtection="1">
      <alignment vertical="top"/>
      <protection hidden="1"/>
    </xf>
    <xf numFmtId="0" fontId="7" fillId="5" borderId="0" xfId="0" applyFont="1" applyFill="1"/>
    <xf numFmtId="181" fontId="0" fillId="2" borderId="18" xfId="0" applyNumberFormat="1" applyFill="1" applyBorder="1" applyAlignment="1" applyProtection="1">
      <alignment horizontal="left" vertical="top"/>
      <protection locked="0"/>
    </xf>
    <xf numFmtId="181" fontId="0" fillId="2" borderId="24" xfId="0" applyNumberFormat="1" applyFill="1" applyBorder="1" applyAlignment="1" applyProtection="1">
      <alignment horizontal="left" vertical="top"/>
      <protection locked="0"/>
    </xf>
    <xf numFmtId="0" fontId="7" fillId="0" borderId="0" xfId="0" applyFont="1" applyAlignment="1">
      <alignment vertical="center"/>
    </xf>
    <xf numFmtId="179" fontId="12" fillId="0" borderId="0" xfId="0" applyNumberFormat="1" applyFont="1" applyAlignment="1" applyProtection="1">
      <alignment vertical="top"/>
      <protection locked="0"/>
    </xf>
    <xf numFmtId="0" fontId="24" fillId="0" borderId="0" xfId="0" applyFont="1" applyAlignment="1" applyProtection="1">
      <alignment vertical="top" wrapText="1"/>
      <protection hidden="1"/>
    </xf>
    <xf numFmtId="0" fontId="0" fillId="0" borderId="39" xfId="0" applyBorder="1" applyAlignment="1" applyProtection="1">
      <alignment vertical="top" shrinkToFit="1"/>
      <protection hidden="1"/>
    </xf>
    <xf numFmtId="0" fontId="25" fillId="0" borderId="0" xfId="0" applyFont="1"/>
    <xf numFmtId="2" fontId="2" fillId="10" borderId="28" xfId="0" applyNumberFormat="1" applyFont="1" applyFill="1" applyBorder="1" applyAlignment="1" applyProtection="1">
      <alignment vertical="center"/>
      <protection hidden="1"/>
    </xf>
    <xf numFmtId="4" fontId="2" fillId="10" borderId="28" xfId="0" applyNumberFormat="1" applyFont="1" applyFill="1" applyBorder="1" applyAlignment="1" applyProtection="1">
      <alignment vertical="center"/>
      <protection hidden="1"/>
    </xf>
    <xf numFmtId="0" fontId="2" fillId="0" borderId="0" xfId="0" applyFont="1" applyAlignment="1" applyProtection="1">
      <alignment horizontal="center"/>
      <protection hidden="1"/>
    </xf>
    <xf numFmtId="43" fontId="0" fillId="0" borderId="0" xfId="0" applyNumberFormat="1" applyProtection="1">
      <protection hidden="1"/>
    </xf>
    <xf numFmtId="43" fontId="0" fillId="2" borderId="4" xfId="0" applyNumberFormat="1" applyFill="1" applyBorder="1" applyProtection="1">
      <protection locked="0"/>
    </xf>
    <xf numFmtId="2" fontId="7" fillId="0" borderId="4" xfId="0" applyNumberFormat="1" applyFont="1" applyBorder="1" applyProtection="1">
      <protection hidden="1"/>
    </xf>
    <xf numFmtId="0" fontId="35" fillId="0" borderId="0" xfId="2" applyFont="1" applyAlignment="1" applyProtection="1">
      <alignment horizontal="left" vertical="center"/>
      <protection hidden="1"/>
    </xf>
    <xf numFmtId="0" fontId="14" fillId="0" borderId="0" xfId="0" applyFont="1" applyAlignment="1" applyProtection="1">
      <alignment horizontal="right"/>
      <protection hidden="1"/>
    </xf>
    <xf numFmtId="182" fontId="7" fillId="0" borderId="0" xfId="0" applyNumberFormat="1" applyFont="1" applyAlignment="1" applyProtection="1">
      <alignment horizontal="right" vertical="top"/>
      <protection hidden="1"/>
    </xf>
    <xf numFmtId="2" fontId="0" fillId="0" borderId="10" xfId="0" applyNumberFormat="1" applyBorder="1" applyProtection="1">
      <protection hidden="1"/>
    </xf>
    <xf numFmtId="0" fontId="37" fillId="0" borderId="22" xfId="0" applyFont="1" applyBorder="1" applyAlignment="1" applyProtection="1">
      <alignment horizontal="right" wrapText="1"/>
      <protection hidden="1"/>
    </xf>
    <xf numFmtId="0" fontId="2" fillId="0" borderId="22" xfId="0" applyFont="1" applyBorder="1" applyAlignment="1" applyProtection="1">
      <alignment horizontal="right" wrapText="1"/>
      <protection hidden="1"/>
    </xf>
    <xf numFmtId="0" fontId="2" fillId="0" borderId="9" xfId="0" applyFont="1" applyBorder="1" applyAlignment="1" applyProtection="1">
      <alignment horizontal="right" wrapText="1"/>
      <protection hidden="1"/>
    </xf>
    <xf numFmtId="0" fontId="11" fillId="0" borderId="0" xfId="0" applyFont="1" applyAlignment="1" applyProtection="1">
      <alignment vertical="top" wrapText="1"/>
      <protection hidden="1"/>
    </xf>
    <xf numFmtId="14" fontId="1" fillId="0" borderId="0" xfId="0" applyNumberFormat="1" applyFont="1" applyProtection="1">
      <protection hidden="1"/>
    </xf>
    <xf numFmtId="10" fontId="0" fillId="0" borderId="4" xfId="3" applyNumberFormat="1" applyFont="1" applyBorder="1" applyProtection="1">
      <protection hidden="1"/>
    </xf>
    <xf numFmtId="0" fontId="14" fillId="0" borderId="0" xfId="0" applyFont="1" applyAlignment="1" applyProtection="1">
      <alignment vertical="top"/>
      <protection hidden="1"/>
    </xf>
    <xf numFmtId="0" fontId="13" fillId="0" borderId="0" xfId="2" applyAlignment="1" applyProtection="1">
      <protection hidden="1"/>
    </xf>
    <xf numFmtId="4" fontId="7" fillId="14" borderId="0" xfId="0" applyNumberFormat="1" applyFont="1" applyFill="1" applyAlignment="1">
      <alignment vertical="top"/>
    </xf>
    <xf numFmtId="4" fontId="0" fillId="14" borderId="0" xfId="0" applyNumberFormat="1" applyFill="1" applyAlignment="1">
      <alignment vertical="top"/>
    </xf>
    <xf numFmtId="0" fontId="3" fillId="10" borderId="0" xfId="0" applyFont="1" applyFill="1" applyAlignment="1">
      <alignment vertical="top"/>
    </xf>
    <xf numFmtId="0" fontId="0" fillId="10" borderId="0" xfId="0" applyFill="1" applyAlignment="1">
      <alignment vertical="top"/>
    </xf>
    <xf numFmtId="0" fontId="3" fillId="10" borderId="0" xfId="0" applyFont="1" applyFill="1" applyAlignment="1">
      <alignment horizontal="left" vertical="top"/>
    </xf>
    <xf numFmtId="4" fontId="25" fillId="10" borderId="0" xfId="0" applyNumberFormat="1" applyFont="1" applyFill="1" applyAlignment="1" applyProtection="1">
      <alignment vertical="top"/>
      <protection hidden="1"/>
    </xf>
    <xf numFmtId="0" fontId="0" fillId="10" borderId="0" xfId="0" applyFill="1" applyAlignment="1" applyProtection="1">
      <alignment horizontal="center"/>
      <protection hidden="1"/>
    </xf>
    <xf numFmtId="0" fontId="27" fillId="0" borderId="0" xfId="0" applyFont="1" applyAlignment="1" applyProtection="1">
      <alignment vertical="top" wrapText="1"/>
      <protection hidden="1"/>
    </xf>
    <xf numFmtId="9" fontId="0" fillId="0" borderId="0" xfId="3" applyFont="1" applyBorder="1" applyAlignment="1" applyProtection="1">
      <alignment vertical="top"/>
      <protection hidden="1"/>
    </xf>
    <xf numFmtId="9" fontId="1" fillId="0" borderId="0" xfId="3" applyFont="1" applyBorder="1" applyAlignment="1" applyProtection="1">
      <alignment vertical="top"/>
      <protection hidden="1"/>
    </xf>
    <xf numFmtId="179" fontId="25" fillId="10" borderId="0" xfId="0" applyNumberFormat="1" applyFont="1" applyFill="1" applyAlignment="1" applyProtection="1">
      <alignment vertical="top"/>
      <protection locked="0"/>
    </xf>
    <xf numFmtId="0" fontId="0" fillId="0" borderId="14" xfId="0" applyBorder="1" applyAlignment="1" applyProtection="1">
      <alignment horizontal="left" vertical="top"/>
      <protection hidden="1"/>
    </xf>
    <xf numFmtId="172" fontId="0" fillId="0" borderId="0" xfId="0" applyNumberFormat="1" applyAlignment="1" applyProtection="1">
      <alignment vertical="top"/>
      <protection hidden="1"/>
    </xf>
    <xf numFmtId="0" fontId="2" fillId="10" borderId="0" xfId="0" applyFont="1" applyFill="1" applyAlignment="1" applyProtection="1">
      <alignment vertical="top"/>
      <protection hidden="1"/>
    </xf>
    <xf numFmtId="172" fontId="2" fillId="10" borderId="0" xfId="0" applyNumberFormat="1" applyFont="1" applyFill="1" applyAlignment="1" applyProtection="1">
      <alignment vertical="top"/>
      <protection hidden="1"/>
    </xf>
    <xf numFmtId="0" fontId="2" fillId="10" borderId="0" xfId="0" applyFont="1" applyFill="1" applyAlignment="1" applyProtection="1">
      <alignment horizontal="right" vertical="top"/>
      <protection hidden="1"/>
    </xf>
    <xf numFmtId="0" fontId="2" fillId="10" borderId="0" xfId="0" applyFont="1" applyFill="1" applyAlignment="1" applyProtection="1">
      <alignment vertical="top" wrapText="1"/>
      <protection hidden="1"/>
    </xf>
    <xf numFmtId="172" fontId="2" fillId="10" borderId="0" xfId="0" applyNumberFormat="1" applyFont="1" applyFill="1" applyAlignment="1" applyProtection="1">
      <alignment horizontal="right" vertical="top" wrapText="1"/>
      <protection hidden="1"/>
    </xf>
    <xf numFmtId="0" fontId="0" fillId="0" borderId="4" xfId="0" applyBorder="1" applyAlignment="1" applyProtection="1">
      <alignment vertical="top" wrapText="1"/>
      <protection hidden="1"/>
    </xf>
    <xf numFmtId="0" fontId="0" fillId="0" borderId="29" xfId="0" applyBorder="1" applyAlignment="1" applyProtection="1">
      <alignment vertical="top" wrapText="1"/>
      <protection hidden="1"/>
    </xf>
    <xf numFmtId="0" fontId="0" fillId="0" borderId="13" xfId="0" applyBorder="1" applyAlignment="1" applyProtection="1">
      <alignment vertical="top" wrapText="1"/>
      <protection hidden="1"/>
    </xf>
    <xf numFmtId="10" fontId="0" fillId="2" borderId="27" xfId="0" applyNumberFormat="1" applyFill="1" applyBorder="1" applyAlignment="1" applyProtection="1">
      <alignment vertical="top"/>
      <protection locked="0"/>
    </xf>
    <xf numFmtId="0" fontId="42" fillId="0" borderId="0" xfId="0" applyFont="1" applyAlignment="1" applyProtection="1">
      <alignment vertical="top"/>
      <protection hidden="1"/>
    </xf>
    <xf numFmtId="172" fontId="0" fillId="0" borderId="27" xfId="0" applyNumberFormat="1" applyBorder="1" applyAlignment="1" applyProtection="1">
      <alignment vertical="top" wrapText="1"/>
      <protection hidden="1"/>
    </xf>
    <xf numFmtId="172" fontId="0" fillId="0" borderId="29" xfId="0" applyNumberFormat="1" applyBorder="1" applyAlignment="1" applyProtection="1">
      <alignment vertical="top" wrapText="1"/>
      <protection hidden="1"/>
    </xf>
    <xf numFmtId="172" fontId="0" fillId="0" borderId="13" xfId="0" applyNumberFormat="1" applyBorder="1" applyAlignment="1" applyProtection="1">
      <alignment vertical="top" wrapText="1"/>
      <protection hidden="1"/>
    </xf>
    <xf numFmtId="0" fontId="2" fillId="0" borderId="27" xfId="0" applyFont="1" applyBorder="1" applyAlignment="1" applyProtection="1">
      <alignment vertical="top" wrapText="1"/>
      <protection hidden="1"/>
    </xf>
    <xf numFmtId="172" fontId="2" fillId="0" borderId="42" xfId="0" applyNumberFormat="1" applyFont="1" applyBorder="1" applyAlignment="1" applyProtection="1">
      <alignment vertical="top" wrapText="1"/>
      <protection hidden="1"/>
    </xf>
    <xf numFmtId="0" fontId="2" fillId="0" borderId="18" xfId="0" applyFont="1" applyBorder="1" applyAlignment="1" applyProtection="1">
      <alignment vertical="top" wrapText="1"/>
      <protection hidden="1"/>
    </xf>
    <xf numFmtId="0" fontId="2" fillId="0" borderId="38" xfId="0" applyFont="1" applyBorder="1" applyAlignment="1" applyProtection="1">
      <alignment vertical="top" wrapText="1"/>
      <protection hidden="1"/>
    </xf>
    <xf numFmtId="172" fontId="0" fillId="0" borderId="4" xfId="0" applyNumberFormat="1" applyBorder="1" applyAlignment="1" applyProtection="1">
      <alignment vertical="top" wrapText="1"/>
      <protection hidden="1"/>
    </xf>
    <xf numFmtId="0" fontId="2" fillId="0" borderId="4" xfId="0" applyFont="1" applyBorder="1" applyAlignment="1" applyProtection="1">
      <alignment vertical="top" wrapText="1"/>
      <protection hidden="1"/>
    </xf>
    <xf numFmtId="0" fontId="7" fillId="0" borderId="0" xfId="0" applyFont="1" applyProtection="1">
      <protection locked="0"/>
    </xf>
    <xf numFmtId="183" fontId="0" fillId="0" borderId="0" xfId="3" applyNumberFormat="1" applyFont="1" applyProtection="1">
      <protection hidden="1"/>
    </xf>
    <xf numFmtId="183" fontId="0" fillId="0" borderId="0" xfId="3" applyNumberFormat="1" applyFont="1" applyAlignment="1" applyProtection="1">
      <alignment horizontal="right"/>
      <protection hidden="1"/>
    </xf>
    <xf numFmtId="183" fontId="0" fillId="0" borderId="0" xfId="0" applyNumberFormat="1" applyAlignment="1">
      <alignment vertical="top"/>
    </xf>
    <xf numFmtId="0" fontId="43" fillId="0" borderId="0" xfId="0" applyFont="1" applyAlignment="1" applyProtection="1">
      <alignment vertical="top"/>
      <protection hidden="1"/>
    </xf>
    <xf numFmtId="0" fontId="1" fillId="0" borderId="0" xfId="0" applyFont="1" applyAlignment="1" applyProtection="1">
      <alignment vertical="top" wrapText="1"/>
      <protection hidden="1"/>
    </xf>
    <xf numFmtId="0" fontId="1" fillId="15" borderId="0" xfId="0" applyFont="1" applyFill="1" applyProtection="1">
      <protection hidden="1"/>
    </xf>
    <xf numFmtId="0" fontId="24" fillId="0" borderId="48" xfId="0" applyFont="1" applyBorder="1" applyAlignment="1" applyProtection="1">
      <alignment vertical="top" wrapText="1"/>
      <protection hidden="1"/>
    </xf>
    <xf numFmtId="4" fontId="2" fillId="0" borderId="4" xfId="0" applyNumberFormat="1" applyFont="1" applyBorder="1" applyAlignment="1" applyProtection="1">
      <alignment horizontal="left" vertical="top"/>
      <protection hidden="1"/>
    </xf>
    <xf numFmtId="0" fontId="0" fillId="15" borderId="0" xfId="0" applyFill="1" applyAlignment="1" applyProtection="1">
      <alignment horizontal="center"/>
      <protection hidden="1"/>
    </xf>
    <xf numFmtId="0" fontId="0" fillId="0" borderId="4" xfId="0" applyBorder="1" applyAlignment="1" applyProtection="1">
      <alignment vertical="top"/>
      <protection hidden="1"/>
    </xf>
    <xf numFmtId="172" fontId="0" fillId="0" borderId="29" xfId="0" applyNumberFormat="1" applyBorder="1" applyAlignment="1" applyProtection="1">
      <alignment vertical="top"/>
      <protection hidden="1"/>
    </xf>
    <xf numFmtId="172" fontId="0" fillId="0" borderId="13" xfId="0" applyNumberFormat="1" applyBorder="1" applyAlignment="1" applyProtection="1">
      <alignment vertical="top"/>
      <protection hidden="1"/>
    </xf>
    <xf numFmtId="0" fontId="0" fillId="0" borderId="13" xfId="0" applyBorder="1" applyAlignment="1" applyProtection="1">
      <alignment wrapText="1"/>
      <protection hidden="1"/>
    </xf>
    <xf numFmtId="0" fontId="13" fillId="0" borderId="0" xfId="2" applyFill="1" applyBorder="1" applyAlignment="1" applyProtection="1">
      <alignment vertical="top"/>
      <protection hidden="1"/>
    </xf>
    <xf numFmtId="0" fontId="45" fillId="0" borderId="0" xfId="0" applyFont="1" applyAlignment="1" applyProtection="1">
      <alignment vertical="top"/>
      <protection hidden="1"/>
    </xf>
    <xf numFmtId="0" fontId="0" fillId="0" borderId="31" xfId="0" applyBorder="1" applyAlignment="1">
      <alignment vertical="top"/>
    </xf>
    <xf numFmtId="0" fontId="43" fillId="15" borderId="0" xfId="0" applyFont="1" applyFill="1" applyAlignment="1" applyProtection="1">
      <alignment vertical="top"/>
      <protection hidden="1"/>
    </xf>
    <xf numFmtId="2" fontId="43" fillId="15" borderId="0" xfId="0" applyNumberFormat="1" applyFont="1" applyFill="1" applyAlignment="1" applyProtection="1">
      <alignment vertical="top"/>
      <protection hidden="1"/>
    </xf>
    <xf numFmtId="4" fontId="44" fillId="15" borderId="0" xfId="0" applyNumberFormat="1" applyFont="1" applyFill="1" applyAlignment="1">
      <alignment vertical="top"/>
    </xf>
    <xf numFmtId="0" fontId="0" fillId="0" borderId="50" xfId="0" applyBorder="1" applyAlignment="1" applyProtection="1">
      <alignment vertical="top"/>
      <protection hidden="1"/>
    </xf>
    <xf numFmtId="0" fontId="39" fillId="0" borderId="22" xfId="0" applyFont="1" applyBorder="1" applyAlignment="1" applyProtection="1">
      <alignment vertical="top"/>
      <protection hidden="1"/>
    </xf>
    <xf numFmtId="0" fontId="0" fillId="0" borderId="22" xfId="0" applyBorder="1" applyAlignment="1">
      <alignment vertical="top"/>
    </xf>
    <xf numFmtId="0" fontId="39" fillId="0" borderId="49" xfId="0" applyFont="1" applyBorder="1" applyAlignment="1" applyProtection="1">
      <alignment vertical="top"/>
      <protection hidden="1"/>
    </xf>
    <xf numFmtId="0" fontId="1" fillId="16" borderId="0" xfId="0" applyFont="1" applyFill="1" applyAlignment="1" applyProtection="1">
      <alignment horizontal="center" vertical="top"/>
      <protection hidden="1"/>
    </xf>
    <xf numFmtId="0" fontId="1" fillId="16" borderId="9" xfId="0" applyFont="1" applyFill="1" applyBorder="1" applyAlignment="1" applyProtection="1">
      <alignment horizontal="center" vertical="top"/>
      <protection hidden="1"/>
    </xf>
    <xf numFmtId="0" fontId="46" fillId="16" borderId="0" xfId="0" applyFont="1" applyFill="1" applyAlignment="1" applyProtection="1">
      <alignment vertical="top"/>
      <protection hidden="1"/>
    </xf>
    <xf numFmtId="0" fontId="0" fillId="0" borderId="27" xfId="0" applyBorder="1" applyAlignment="1" applyProtection="1">
      <alignment vertical="top"/>
      <protection hidden="1"/>
    </xf>
    <xf numFmtId="0" fontId="0" fillId="0" borderId="29" xfId="0" applyBorder="1" applyAlignment="1" applyProtection="1">
      <alignment wrapText="1"/>
      <protection hidden="1"/>
    </xf>
    <xf numFmtId="0" fontId="25" fillId="17" borderId="0" xfId="0" applyFont="1" applyFill="1" applyAlignment="1" applyProtection="1">
      <alignment vertical="top"/>
      <protection hidden="1"/>
    </xf>
    <xf numFmtId="0" fontId="47" fillId="0" borderId="50" xfId="0" applyFont="1" applyBorder="1" applyAlignment="1">
      <alignment vertical="center" wrapText="1"/>
    </xf>
    <xf numFmtId="0" fontId="1" fillId="0" borderId="50" xfId="0" applyFont="1" applyBorder="1" applyAlignment="1" applyProtection="1">
      <alignment vertical="top"/>
      <protection hidden="1"/>
    </xf>
    <xf numFmtId="0" fontId="47" fillId="0" borderId="50" xfId="0" applyFont="1" applyBorder="1" applyAlignment="1">
      <alignment vertical="center"/>
    </xf>
    <xf numFmtId="172" fontId="0" fillId="0" borderId="3" xfId="0" applyNumberFormat="1" applyBorder="1" applyAlignment="1" applyProtection="1">
      <alignment vertical="top"/>
      <protection hidden="1"/>
    </xf>
    <xf numFmtId="172" fontId="0" fillId="0" borderId="6" xfId="0" applyNumberFormat="1" applyBorder="1" applyAlignment="1" applyProtection="1">
      <alignment vertical="top"/>
      <protection hidden="1"/>
    </xf>
    <xf numFmtId="0" fontId="39" fillId="0" borderId="0" xfId="0" applyFont="1" applyAlignment="1" applyProtection="1">
      <alignment vertical="top" wrapText="1"/>
      <protection hidden="1"/>
    </xf>
    <xf numFmtId="4" fontId="12" fillId="0" borderId="0" xfId="0" applyNumberFormat="1" applyFont="1" applyAlignment="1" applyProtection="1">
      <alignment vertical="top"/>
      <protection hidden="1"/>
    </xf>
    <xf numFmtId="2" fontId="12" fillId="0" borderId="0" xfId="0" applyNumberFormat="1" applyFont="1" applyAlignment="1" applyProtection="1">
      <alignment vertical="top"/>
      <protection hidden="1"/>
    </xf>
    <xf numFmtId="2" fontId="1" fillId="18" borderId="50" xfId="0" applyNumberFormat="1" applyFont="1" applyFill="1" applyBorder="1" applyAlignment="1" applyProtection="1">
      <alignment vertical="top"/>
      <protection locked="0"/>
    </xf>
    <xf numFmtId="0" fontId="1" fillId="0" borderId="27" xfId="0" applyFont="1" applyBorder="1" applyAlignment="1" applyProtection="1">
      <alignment horizontal="center" textRotation="90" wrapText="1"/>
      <protection hidden="1"/>
    </xf>
    <xf numFmtId="0" fontId="1" fillId="0" borderId="5" xfId="0" applyFont="1" applyBorder="1" applyAlignment="1" applyProtection="1">
      <alignment vertical="top"/>
      <protection hidden="1"/>
    </xf>
    <xf numFmtId="0" fontId="1" fillId="0" borderId="13" xfId="0" applyFont="1" applyBorder="1" applyAlignment="1" applyProtection="1">
      <alignment horizontal="left" vertical="top" wrapText="1"/>
      <protection hidden="1"/>
    </xf>
    <xf numFmtId="0" fontId="25" fillId="0" borderId="13" xfId="0" applyFont="1" applyBorder="1" applyAlignment="1" applyProtection="1">
      <alignment horizontal="left" vertical="top" wrapText="1"/>
      <protection hidden="1"/>
    </xf>
    <xf numFmtId="0" fontId="28" fillId="0" borderId="13" xfId="0" applyFont="1" applyBorder="1" applyAlignment="1" applyProtection="1">
      <alignment horizontal="left" vertical="top" wrapText="1"/>
      <protection hidden="1"/>
    </xf>
    <xf numFmtId="14" fontId="1" fillId="2" borderId="4" xfId="0" applyNumberFormat="1" applyFont="1" applyFill="1" applyBorder="1" applyAlignment="1" applyProtection="1">
      <alignment vertical="top"/>
      <protection locked="0"/>
    </xf>
    <xf numFmtId="2" fontId="1" fillId="0" borderId="5" xfId="0" applyNumberFormat="1" applyFont="1" applyBorder="1" applyAlignment="1" applyProtection="1">
      <alignment vertical="top"/>
      <protection hidden="1"/>
    </xf>
    <xf numFmtId="165" fontId="0" fillId="0" borderId="0" xfId="0" applyNumberFormat="1" applyAlignment="1" applyProtection="1">
      <alignment vertical="top"/>
      <protection hidden="1"/>
    </xf>
    <xf numFmtId="0" fontId="10" fillId="0" borderId="31" xfId="0" applyFont="1" applyBorder="1" applyAlignment="1">
      <alignment vertical="top"/>
    </xf>
    <xf numFmtId="0" fontId="10" fillId="0" borderId="30" xfId="0" applyFont="1" applyBorder="1" applyAlignment="1">
      <alignment vertical="top"/>
    </xf>
    <xf numFmtId="0" fontId="0" fillId="0" borderId="14" xfId="0" applyBorder="1" applyAlignment="1">
      <alignment vertical="top" wrapText="1"/>
    </xf>
    <xf numFmtId="0" fontId="7" fillId="0" borderId="14" xfId="0" applyFont="1" applyBorder="1" applyAlignment="1" applyProtection="1">
      <alignment vertical="top"/>
      <protection hidden="1"/>
    </xf>
    <xf numFmtId="0" fontId="3" fillId="0" borderId="14" xfId="0" applyFont="1" applyBorder="1" applyAlignment="1">
      <alignment vertical="top"/>
    </xf>
    <xf numFmtId="0" fontId="3" fillId="0" borderId="31" xfId="0" applyFont="1" applyBorder="1" applyAlignment="1">
      <alignment vertical="top"/>
    </xf>
    <xf numFmtId="0" fontId="0" fillId="0" borderId="8" xfId="0" applyBorder="1" applyAlignment="1">
      <alignment vertical="top"/>
    </xf>
    <xf numFmtId="0" fontId="1" fillId="0" borderId="5" xfId="0" applyFont="1" applyBorder="1" applyAlignment="1" applyProtection="1">
      <alignment horizontal="right"/>
      <protection hidden="1"/>
    </xf>
    <xf numFmtId="0" fontId="65" fillId="0" borderId="0" xfId="0" applyFont="1" applyAlignment="1" applyProtection="1">
      <alignment vertical="top"/>
      <protection hidden="1"/>
    </xf>
    <xf numFmtId="4" fontId="2" fillId="17" borderId="28" xfId="0" applyNumberFormat="1" applyFont="1" applyFill="1" applyBorder="1" applyAlignment="1" applyProtection="1">
      <alignment vertical="center"/>
      <protection hidden="1"/>
    </xf>
    <xf numFmtId="2" fontId="2" fillId="17" borderId="0" xfId="0" applyNumberFormat="1" applyFont="1" applyFill="1" applyAlignment="1" applyProtection="1">
      <alignment vertical="center"/>
      <protection hidden="1"/>
    </xf>
    <xf numFmtId="2" fontId="2" fillId="17" borderId="28" xfId="0" applyNumberFormat="1" applyFont="1" applyFill="1" applyBorder="1" applyAlignment="1" applyProtection="1">
      <alignment vertical="center"/>
      <protection hidden="1"/>
    </xf>
    <xf numFmtId="0" fontId="47" fillId="0" borderId="50" xfId="0" applyFont="1" applyBorder="1"/>
    <xf numFmtId="0" fontId="1" fillId="0" borderId="50" xfId="0" applyFont="1" applyBorder="1" applyAlignment="1" applyProtection="1">
      <alignment vertical="top" wrapText="1"/>
      <protection hidden="1"/>
    </xf>
    <xf numFmtId="0" fontId="0" fillId="2" borderId="33" xfId="0" applyFill="1" applyBorder="1" applyAlignment="1" applyProtection="1">
      <alignment vertical="top"/>
      <protection locked="0"/>
    </xf>
    <xf numFmtId="0" fontId="1" fillId="2" borderId="34" xfId="0" applyFont="1" applyFill="1" applyBorder="1" applyAlignment="1" applyProtection="1">
      <alignment horizontal="left" vertical="top"/>
      <protection locked="0"/>
    </xf>
    <xf numFmtId="14" fontId="0" fillId="6" borderId="15" xfId="0" applyNumberFormat="1" applyFill="1" applyBorder="1" applyAlignment="1" applyProtection="1">
      <alignment horizontal="left" vertical="top"/>
      <protection locked="0"/>
    </xf>
    <xf numFmtId="2" fontId="0" fillId="6" borderId="23" xfId="0" applyNumberFormat="1" applyFill="1" applyBorder="1" applyAlignment="1" applyProtection="1">
      <alignment horizontal="left" vertical="top"/>
      <protection locked="0"/>
    </xf>
    <xf numFmtId="0" fontId="1" fillId="0" borderId="0" xfId="0" applyFont="1" applyProtection="1">
      <protection locked="0"/>
    </xf>
    <xf numFmtId="0" fontId="1" fillId="0" borderId="0" xfId="0" applyFont="1" applyAlignment="1" applyProtection="1">
      <alignment horizontal="left" vertical="top"/>
      <protection locked="0"/>
    </xf>
    <xf numFmtId="10" fontId="1" fillId="0" borderId="0" xfId="3" applyNumberFormat="1" applyFont="1" applyProtection="1">
      <protection locked="0"/>
    </xf>
    <xf numFmtId="183" fontId="1" fillId="0" borderId="0" xfId="3" applyNumberFormat="1" applyFont="1" applyProtection="1">
      <protection locked="0"/>
    </xf>
    <xf numFmtId="0" fontId="1" fillId="0" borderId="27" xfId="0" applyFont="1" applyBorder="1" applyAlignment="1" applyProtection="1">
      <alignment vertical="top"/>
      <protection hidden="1"/>
    </xf>
    <xf numFmtId="0" fontId="2" fillId="0" borderId="50" xfId="0" applyFont="1" applyBorder="1" applyAlignment="1" applyProtection="1">
      <alignment vertical="top" wrapText="1"/>
      <protection hidden="1"/>
    </xf>
    <xf numFmtId="172" fontId="0" fillId="0" borderId="38" xfId="0" applyNumberFormat="1" applyBorder="1" applyAlignment="1" applyProtection="1">
      <alignment vertical="top"/>
      <protection hidden="1"/>
    </xf>
    <xf numFmtId="0" fontId="0" fillId="0" borderId="38" xfId="0" applyBorder="1" applyAlignment="1" applyProtection="1">
      <alignment vertical="top"/>
      <protection hidden="1"/>
    </xf>
    <xf numFmtId="0" fontId="0" fillId="0" borderId="49" xfId="0" applyBorder="1" applyAlignment="1" applyProtection="1">
      <alignment vertical="top" wrapText="1"/>
      <protection hidden="1"/>
    </xf>
    <xf numFmtId="0" fontId="0" fillId="0" borderId="49" xfId="0" applyBorder="1" applyAlignment="1" applyProtection="1">
      <alignment vertical="top"/>
      <protection hidden="1"/>
    </xf>
    <xf numFmtId="0" fontId="1" fillId="0" borderId="0" xfId="0" applyFont="1" applyAlignment="1" applyProtection="1">
      <alignment vertical="center" wrapText="1"/>
      <protection hidden="1"/>
    </xf>
    <xf numFmtId="0" fontId="66" fillId="35" borderId="0" xfId="0" applyFont="1" applyFill="1" applyProtection="1">
      <protection hidden="1"/>
    </xf>
    <xf numFmtId="0" fontId="8" fillId="2" borderId="18" xfId="0" applyFont="1" applyFill="1" applyBorder="1" applyAlignment="1" applyProtection="1">
      <alignment horizontal="center" vertical="center"/>
      <protection locked="0"/>
    </xf>
    <xf numFmtId="0" fontId="13" fillId="0" borderId="0" xfId="2" applyBorder="1" applyAlignment="1" applyProtection="1">
      <alignment vertical="top"/>
      <protection hidden="1"/>
    </xf>
    <xf numFmtId="0" fontId="1" fillId="0" borderId="0" xfId="2" applyFont="1" applyBorder="1" applyAlignment="1" applyProtection="1">
      <alignment vertical="top"/>
      <protection hidden="1"/>
    </xf>
    <xf numFmtId="0" fontId="0" fillId="0" borderId="49" xfId="0" applyBorder="1" applyAlignment="1">
      <alignment horizontal="left" vertical="top"/>
    </xf>
    <xf numFmtId="0" fontId="3" fillId="0" borderId="49" xfId="0" applyFont="1" applyBorder="1" applyAlignment="1" applyProtection="1">
      <alignment vertical="top" wrapText="1"/>
      <protection hidden="1"/>
    </xf>
    <xf numFmtId="0" fontId="39" fillId="0" borderId="49" xfId="0" applyFont="1" applyBorder="1" applyAlignment="1" applyProtection="1">
      <alignment vertical="top" wrapText="1"/>
      <protection hidden="1"/>
    </xf>
    <xf numFmtId="0" fontId="1" fillId="0" borderId="49" xfId="0" applyFont="1" applyBorder="1" applyAlignment="1">
      <alignment horizontal="left" vertical="top"/>
    </xf>
    <xf numFmtId="0" fontId="0" fillId="6" borderId="66" xfId="0" applyFill="1" applyBorder="1" applyAlignment="1" applyProtection="1">
      <alignment horizontal="left" vertical="top"/>
      <protection locked="0"/>
    </xf>
    <xf numFmtId="0" fontId="0" fillId="0" borderId="67" xfId="0" applyBorder="1" applyAlignment="1" applyProtection="1">
      <alignment vertical="top"/>
      <protection hidden="1"/>
    </xf>
    <xf numFmtId="0" fontId="0" fillId="0" borderId="67" xfId="0" applyBorder="1" applyAlignment="1" applyProtection="1">
      <alignment vertical="top" wrapText="1"/>
      <protection hidden="1"/>
    </xf>
    <xf numFmtId="0" fontId="0" fillId="7" borderId="67" xfId="0" applyFill="1" applyBorder="1" applyAlignment="1" applyProtection="1">
      <alignment vertical="top"/>
      <protection hidden="1"/>
    </xf>
    <xf numFmtId="0" fontId="0" fillId="7" borderId="67" xfId="0" applyFill="1" applyBorder="1" applyAlignment="1" applyProtection="1">
      <alignment vertical="top" wrapText="1"/>
      <protection hidden="1"/>
    </xf>
    <xf numFmtId="0" fontId="3" fillId="0" borderId="49" xfId="0" applyFont="1" applyBorder="1" applyAlignment="1">
      <alignment horizontal="left" vertical="top"/>
    </xf>
    <xf numFmtId="0" fontId="39" fillId="0" borderId="49" xfId="0" applyFont="1" applyBorder="1" applyAlignment="1">
      <alignment horizontal="left" vertical="top" wrapText="1"/>
    </xf>
    <xf numFmtId="14" fontId="0" fillId="5" borderId="67" xfId="0" applyNumberFormat="1" applyFill="1" applyBorder="1" applyAlignment="1" applyProtection="1">
      <alignment horizontal="left" vertical="top"/>
      <protection locked="0"/>
    </xf>
    <xf numFmtId="0" fontId="3" fillId="0" borderId="49" xfId="0" applyFont="1" applyBorder="1" applyAlignment="1">
      <alignment horizontal="left" vertical="top" wrapText="1"/>
    </xf>
    <xf numFmtId="14" fontId="0" fillId="2" borderId="67" xfId="0" applyNumberFormat="1" applyFill="1" applyBorder="1" applyAlignment="1" applyProtection="1">
      <alignment horizontal="left" vertical="top"/>
      <protection locked="0"/>
    </xf>
    <xf numFmtId="0" fontId="0" fillId="0" borderId="68" xfId="0" applyBorder="1" applyAlignment="1">
      <alignment horizontal="left" vertical="top"/>
    </xf>
    <xf numFmtId="0" fontId="3" fillId="0" borderId="68" xfId="0" applyFont="1" applyBorder="1" applyAlignment="1">
      <alignment horizontal="right" vertical="top"/>
    </xf>
    <xf numFmtId="1" fontId="0" fillId="5" borderId="67" xfId="0" applyNumberFormat="1" applyFill="1" applyBorder="1" applyAlignment="1" applyProtection="1">
      <alignment horizontal="left" vertical="top"/>
      <protection locked="0"/>
    </xf>
    <xf numFmtId="14" fontId="0" fillId="0" borderId="67" xfId="0" applyNumberFormat="1" applyBorder="1" applyAlignment="1" applyProtection="1">
      <alignment horizontal="left" vertical="top"/>
      <protection hidden="1"/>
    </xf>
    <xf numFmtId="0" fontId="0" fillId="0" borderId="69" xfId="0" applyBorder="1" applyAlignment="1" applyProtection="1">
      <alignment vertical="top" wrapText="1"/>
      <protection hidden="1"/>
    </xf>
    <xf numFmtId="0" fontId="39" fillId="0" borderId="69" xfId="0" applyFont="1" applyBorder="1" applyAlignment="1" applyProtection="1">
      <alignment vertical="top" wrapText="1"/>
      <protection hidden="1"/>
    </xf>
    <xf numFmtId="2" fontId="0" fillId="5" borderId="67" xfId="0" applyNumberFormat="1" applyFill="1" applyBorder="1" applyAlignment="1" applyProtection="1">
      <alignment horizontal="left" vertical="top"/>
      <protection locked="0"/>
    </xf>
    <xf numFmtId="0" fontId="0" fillId="0" borderId="69" xfId="0" applyBorder="1" applyAlignment="1" applyProtection="1">
      <alignment vertical="top"/>
      <protection hidden="1"/>
    </xf>
    <xf numFmtId="2" fontId="3" fillId="0" borderId="69" xfId="0" applyNumberFormat="1" applyFont="1" applyBorder="1" applyAlignment="1" applyProtection="1">
      <alignment horizontal="right" vertical="top"/>
      <protection hidden="1"/>
    </xf>
    <xf numFmtId="0" fontId="0" fillId="2" borderId="67" xfId="0" applyFill="1" applyBorder="1" applyAlignment="1" applyProtection="1">
      <alignment horizontal="left" vertical="top"/>
      <protection locked="0"/>
    </xf>
    <xf numFmtId="0" fontId="1" fillId="0" borderId="67" xfId="0" applyFont="1" applyBorder="1" applyAlignment="1" applyProtection="1">
      <alignment vertical="top" wrapText="1"/>
      <protection hidden="1"/>
    </xf>
    <xf numFmtId="0" fontId="3" fillId="0" borderId="69" xfId="0" applyFont="1" applyBorder="1" applyAlignment="1" applyProtection="1">
      <alignment vertical="top" wrapText="1"/>
      <protection hidden="1"/>
    </xf>
    <xf numFmtId="0" fontId="3" fillId="0" borderId="69" xfId="0" applyFont="1" applyBorder="1" applyAlignment="1">
      <alignment horizontal="right" vertical="top"/>
    </xf>
    <xf numFmtId="0" fontId="3" fillId="0" borderId="69" xfId="0" applyFont="1" applyBorder="1" applyAlignment="1" applyProtection="1">
      <alignment horizontal="right" vertical="top"/>
      <protection hidden="1"/>
    </xf>
    <xf numFmtId="2" fontId="1" fillId="2" borderId="67" xfId="0" applyNumberFormat="1" applyFont="1" applyFill="1" applyBorder="1" applyAlignment="1" applyProtection="1">
      <alignment horizontal="left" vertical="top"/>
      <protection locked="0"/>
    </xf>
    <xf numFmtId="0" fontId="3" fillId="0" borderId="67" xfId="0" applyFont="1" applyBorder="1" applyAlignment="1" applyProtection="1">
      <alignment horizontal="left" vertical="top" wrapText="1"/>
      <protection hidden="1"/>
    </xf>
    <xf numFmtId="0" fontId="0" fillId="0" borderId="69" xfId="0" applyBorder="1" applyAlignment="1" applyProtection="1">
      <alignment horizontal="left" vertical="top" indent="1"/>
      <protection hidden="1"/>
    </xf>
    <xf numFmtId="0" fontId="39" fillId="0" borderId="69" xfId="0" applyFont="1" applyBorder="1" applyAlignment="1" applyProtection="1">
      <alignment vertical="top"/>
      <protection hidden="1"/>
    </xf>
    <xf numFmtId="9" fontId="1" fillId="2" borderId="67" xfId="3" applyFont="1" applyFill="1" applyBorder="1" applyAlignment="1" applyProtection="1">
      <alignment horizontal="left" vertical="top"/>
      <protection locked="0"/>
    </xf>
    <xf numFmtId="0" fontId="0" fillId="0" borderId="69" xfId="0" applyBorder="1" applyAlignment="1" applyProtection="1">
      <alignment horizontal="left" vertical="top" wrapText="1" indent="1"/>
      <protection hidden="1"/>
    </xf>
    <xf numFmtId="2" fontId="1" fillId="5" borderId="9" xfId="0" applyNumberFormat="1" applyFont="1" applyFill="1" applyBorder="1" applyAlignment="1" applyProtection="1">
      <alignment horizontal="left" vertical="top"/>
      <protection locked="0"/>
    </xf>
    <xf numFmtId="0" fontId="0" fillId="0" borderId="71" xfId="0" applyBorder="1" applyAlignment="1" applyProtection="1">
      <alignment vertical="top" shrinkToFit="1"/>
      <protection hidden="1"/>
    </xf>
    <xf numFmtId="0" fontId="10" fillId="0" borderId="72" xfId="0" applyFont="1" applyBorder="1" applyAlignment="1" applyProtection="1">
      <alignment vertical="top"/>
      <protection hidden="1"/>
    </xf>
    <xf numFmtId="0" fontId="1" fillId="0" borderId="69" xfId="0" applyFont="1" applyBorder="1" applyAlignment="1" applyProtection="1">
      <alignment horizontal="left" vertical="top" indent="1"/>
      <protection hidden="1"/>
    </xf>
    <xf numFmtId="4" fontId="0" fillId="6" borderId="23" xfId="0" applyNumberFormat="1" applyFill="1" applyBorder="1" applyAlignment="1" applyProtection="1">
      <alignment horizontal="left" vertical="top"/>
      <protection locked="0"/>
    </xf>
    <xf numFmtId="4" fontId="0" fillId="6" borderId="26" xfId="0" applyNumberFormat="1" applyFill="1" applyBorder="1" applyAlignment="1" applyProtection="1">
      <alignment horizontal="left" vertical="top"/>
      <protection locked="0"/>
    </xf>
    <xf numFmtId="175" fontId="0" fillId="6" borderId="73" xfId="0" applyNumberFormat="1" applyFill="1" applyBorder="1" applyAlignment="1" applyProtection="1">
      <alignment horizontal="left" vertical="top"/>
      <protection locked="0"/>
    </xf>
    <xf numFmtId="175" fontId="0" fillId="6" borderId="74" xfId="0" applyNumberFormat="1" applyFill="1" applyBorder="1" applyAlignment="1" applyProtection="1">
      <alignment horizontal="left" vertical="top"/>
      <protection locked="0"/>
    </xf>
    <xf numFmtId="0" fontId="24" fillId="0" borderId="75" xfId="0" applyFont="1" applyBorder="1" applyAlignment="1" applyProtection="1">
      <alignment vertical="top"/>
      <protection hidden="1"/>
    </xf>
    <xf numFmtId="0" fontId="24" fillId="0" borderId="76" xfId="0" applyFont="1" applyBorder="1" applyAlignment="1" applyProtection="1">
      <alignment vertical="top"/>
      <protection hidden="1"/>
    </xf>
    <xf numFmtId="0" fontId="3" fillId="0" borderId="49" xfId="0" applyFont="1" applyBorder="1" applyAlignment="1" applyProtection="1">
      <alignment horizontal="right" vertical="top"/>
      <protection hidden="1"/>
    </xf>
    <xf numFmtId="4" fontId="2" fillId="0" borderId="50" xfId="0" applyNumberFormat="1" applyFont="1" applyBorder="1" applyAlignment="1" applyProtection="1">
      <alignment horizontal="left" vertical="top"/>
      <protection hidden="1"/>
    </xf>
    <xf numFmtId="0" fontId="24" fillId="0" borderId="49" xfId="0" applyFont="1" applyBorder="1" applyAlignment="1" applyProtection="1">
      <alignment vertical="top" wrapText="1"/>
      <protection hidden="1"/>
    </xf>
    <xf numFmtId="2" fontId="1" fillId="5" borderId="24" xfId="0" applyNumberFormat="1" applyFont="1" applyFill="1" applyBorder="1" applyAlignment="1" applyProtection="1">
      <alignment horizontal="left" vertical="top"/>
      <protection locked="0"/>
    </xf>
    <xf numFmtId="0" fontId="1" fillId="0" borderId="26" xfId="0" applyFont="1" applyBorder="1" applyAlignment="1" applyProtection="1">
      <alignment horizontal="left" vertical="top" wrapText="1"/>
      <protection hidden="1"/>
    </xf>
    <xf numFmtId="0" fontId="0" fillId="0" borderId="49" xfId="0" applyBorder="1" applyAlignment="1" applyProtection="1">
      <alignment horizontal="left" vertical="top" wrapText="1"/>
      <protection hidden="1"/>
    </xf>
    <xf numFmtId="49" fontId="0" fillId="0" borderId="0" xfId="0" applyNumberFormat="1" applyAlignment="1" applyProtection="1">
      <alignment vertical="top"/>
      <protection hidden="1"/>
    </xf>
    <xf numFmtId="4" fontId="0" fillId="7" borderId="0" xfId="0" applyNumberFormat="1" applyFill="1" applyAlignment="1" applyProtection="1">
      <alignment vertical="top"/>
      <protection hidden="1"/>
    </xf>
    <xf numFmtId="9" fontId="0" fillId="2" borderId="24" xfId="0" applyNumberFormat="1" applyFill="1" applyBorder="1" applyAlignment="1" applyProtection="1">
      <alignment horizontal="left" vertical="top"/>
      <protection locked="0"/>
    </xf>
    <xf numFmtId="9" fontId="1" fillId="0" borderId="21" xfId="0" applyNumberFormat="1" applyFont="1" applyBorder="1" applyAlignment="1" applyProtection="1">
      <alignment horizontal="left" vertical="top"/>
      <protection hidden="1"/>
    </xf>
    <xf numFmtId="9" fontId="1" fillId="0" borderId="20" xfId="0" applyNumberFormat="1" applyFont="1" applyBorder="1" applyAlignment="1" applyProtection="1">
      <alignment horizontal="left" vertical="top"/>
      <protection hidden="1"/>
    </xf>
    <xf numFmtId="2" fontId="0" fillId="5" borderId="18" xfId="3" applyNumberFormat="1" applyFont="1" applyFill="1" applyBorder="1" applyAlignment="1" applyProtection="1">
      <alignment horizontal="left" vertical="top"/>
      <protection locked="0"/>
    </xf>
    <xf numFmtId="9" fontId="0" fillId="0" borderId="20" xfId="0" applyNumberFormat="1" applyBorder="1" applyAlignment="1" applyProtection="1">
      <alignment horizontal="left" vertical="top" wrapText="1"/>
      <protection hidden="1"/>
    </xf>
    <xf numFmtId="9" fontId="0" fillId="0" borderId="21" xfId="0" applyNumberFormat="1" applyBorder="1" applyAlignment="1" applyProtection="1">
      <alignment vertical="top"/>
      <protection hidden="1"/>
    </xf>
    <xf numFmtId="0" fontId="66" fillId="0" borderId="0" xfId="0" applyFont="1" applyProtection="1">
      <protection hidden="1"/>
    </xf>
    <xf numFmtId="0" fontId="0" fillId="0" borderId="50" xfId="0" applyBorder="1" applyAlignment="1" applyProtection="1">
      <alignment vertical="top" wrapText="1"/>
      <protection hidden="1"/>
    </xf>
    <xf numFmtId="0" fontId="2" fillId="0" borderId="27" xfId="0" applyFont="1" applyBorder="1" applyAlignment="1" applyProtection="1">
      <alignment vertical="top"/>
      <protection hidden="1"/>
    </xf>
    <xf numFmtId="0" fontId="0" fillId="0" borderId="38" xfId="0" applyBorder="1" applyAlignment="1" applyProtection="1">
      <alignment vertical="top" wrapText="1"/>
      <protection hidden="1"/>
    </xf>
    <xf numFmtId="172" fontId="0" fillId="0" borderId="27" xfId="0" applyNumberFormat="1" applyBorder="1" applyAlignment="1" applyProtection="1">
      <alignment vertical="top"/>
      <protection hidden="1"/>
    </xf>
    <xf numFmtId="0" fontId="0" fillId="0" borderId="42" xfId="0" applyBorder="1" applyAlignment="1" applyProtection="1">
      <alignment vertical="top"/>
      <protection hidden="1"/>
    </xf>
    <xf numFmtId="172" fontId="0" fillId="0" borderId="50" xfId="0" applyNumberFormat="1" applyBorder="1" applyAlignment="1" applyProtection="1">
      <alignment vertical="top"/>
      <protection hidden="1"/>
    </xf>
    <xf numFmtId="0" fontId="2" fillId="0" borderId="50" xfId="0" applyFont="1" applyBorder="1" applyAlignment="1" applyProtection="1">
      <alignment vertical="top"/>
      <protection hidden="1"/>
    </xf>
    <xf numFmtId="0" fontId="67" fillId="0" borderId="0" xfId="0" applyFont="1"/>
    <xf numFmtId="43" fontId="0" fillId="2" borderId="42" xfId="0" applyNumberFormat="1" applyFill="1" applyBorder="1" applyProtection="1">
      <protection locked="0"/>
    </xf>
    <xf numFmtId="0" fontId="1" fillId="0" borderId="9" xfId="0" applyFont="1" applyBorder="1" applyAlignment="1" applyProtection="1">
      <alignment vertical="top" wrapText="1"/>
      <protection hidden="1"/>
    </xf>
    <xf numFmtId="0" fontId="1" fillId="0" borderId="14" xfId="0" applyFont="1" applyBorder="1" applyAlignment="1">
      <alignment horizontal="left" vertical="top"/>
    </xf>
    <xf numFmtId="0" fontId="1" fillId="2" borderId="18" xfId="0" applyFont="1" applyFill="1" applyBorder="1" applyAlignment="1" applyProtection="1">
      <alignment horizontal="left" vertical="top"/>
      <protection locked="0"/>
    </xf>
    <xf numFmtId="0" fontId="1" fillId="0" borderId="14" xfId="0" applyFont="1" applyBorder="1" applyAlignment="1" applyProtection="1">
      <alignment horizontal="left" vertical="top" indent="1"/>
      <protection hidden="1"/>
    </xf>
    <xf numFmtId="0" fontId="1" fillId="0" borderId="14" xfId="0" applyFont="1" applyBorder="1" applyAlignment="1" applyProtection="1">
      <alignment vertical="top" wrapText="1"/>
      <protection hidden="1"/>
    </xf>
    <xf numFmtId="0" fontId="1" fillId="0" borderId="14" xfId="0" applyFont="1" applyBorder="1" applyAlignment="1" applyProtection="1">
      <alignment horizontal="left" vertical="top" wrapText="1"/>
      <protection hidden="1"/>
    </xf>
    <xf numFmtId="0" fontId="66" fillId="0" borderId="0" xfId="0" applyFont="1" applyAlignment="1" applyProtection="1">
      <alignment vertical="top"/>
      <protection hidden="1"/>
    </xf>
    <xf numFmtId="0" fontId="1" fillId="0" borderId="0" xfId="0" applyFont="1" applyAlignment="1">
      <alignment vertical="center"/>
    </xf>
    <xf numFmtId="181" fontId="0" fillId="6" borderId="19" xfId="0" applyNumberFormat="1" applyFill="1" applyBorder="1" applyAlignment="1" applyProtection="1">
      <alignment horizontal="left" vertical="top"/>
      <protection locked="0"/>
    </xf>
    <xf numFmtId="2" fontId="7" fillId="36" borderId="18" xfId="0" applyNumberFormat="1" applyFont="1" applyFill="1" applyBorder="1" applyAlignment="1" applyProtection="1">
      <alignment horizontal="left" vertical="top"/>
      <protection locked="0"/>
    </xf>
    <xf numFmtId="0" fontId="25" fillId="0" borderId="7" xfId="0" applyFont="1" applyBorder="1" applyAlignment="1" applyProtection="1">
      <alignment vertical="top"/>
      <protection hidden="1"/>
    </xf>
    <xf numFmtId="0" fontId="1" fillId="0" borderId="7" xfId="0" applyFont="1" applyBorder="1" applyAlignment="1" applyProtection="1">
      <alignment vertical="top"/>
      <protection hidden="1"/>
    </xf>
    <xf numFmtId="2" fontId="25" fillId="0" borderId="77" xfId="0" applyNumberFormat="1" applyFont="1" applyBorder="1" applyAlignment="1" applyProtection="1">
      <alignment vertical="top"/>
      <protection hidden="1"/>
    </xf>
    <xf numFmtId="0" fontId="1" fillId="5" borderId="18" xfId="0" applyFont="1" applyFill="1" applyBorder="1" applyAlignment="1" applyProtection="1">
      <alignment horizontal="left" vertical="top"/>
      <protection locked="0"/>
    </xf>
    <xf numFmtId="0" fontId="1" fillId="0" borderId="11" xfId="0" applyFont="1" applyBorder="1"/>
    <xf numFmtId="14" fontId="0" fillId="0" borderId="0" xfId="0" applyNumberFormat="1" applyAlignment="1" applyProtection="1">
      <alignment horizontal="right"/>
      <protection hidden="1"/>
    </xf>
    <xf numFmtId="2" fontId="1" fillId="2" borderId="43" xfId="0" applyNumberFormat="1" applyFont="1" applyFill="1" applyBorder="1" applyAlignment="1" applyProtection="1">
      <alignment vertical="top"/>
      <protection locked="0"/>
    </xf>
    <xf numFmtId="0" fontId="1" fillId="0" borderId="0" xfId="0" applyFont="1" applyAlignment="1" applyProtection="1">
      <alignment horizontal="right" vertical="top"/>
      <protection locked="0"/>
    </xf>
    <xf numFmtId="0" fontId="1" fillId="0" borderId="0" xfId="0" applyFont="1" applyAlignment="1" applyProtection="1">
      <alignment horizontal="right"/>
      <protection locked="0"/>
    </xf>
    <xf numFmtId="14" fontId="1" fillId="0" borderId="0" xfId="0" applyNumberFormat="1" applyFont="1" applyAlignment="1" applyProtection="1">
      <alignment horizontal="right"/>
      <protection locked="0"/>
    </xf>
    <xf numFmtId="172" fontId="1" fillId="0" borderId="0" xfId="0" applyNumberFormat="1" applyFont="1" applyAlignment="1" applyProtection="1">
      <alignment horizontal="right"/>
      <protection locked="0"/>
    </xf>
    <xf numFmtId="2" fontId="1" fillId="0" borderId="0" xfId="3" applyNumberFormat="1" applyFont="1" applyFill="1" applyAlignment="1" applyProtection="1">
      <alignment horizontal="right"/>
      <protection locked="0"/>
    </xf>
    <xf numFmtId="10" fontId="1" fillId="0" borderId="0" xfId="0" applyNumberFormat="1" applyFont="1" applyAlignment="1" applyProtection="1">
      <alignment horizontal="right"/>
      <protection locked="0"/>
    </xf>
    <xf numFmtId="2" fontId="1" fillId="0" borderId="0" xfId="3" applyNumberFormat="1" applyFont="1" applyAlignment="1" applyProtection="1">
      <alignment horizontal="right"/>
      <protection locked="0"/>
    </xf>
    <xf numFmtId="9" fontId="1" fillId="0" borderId="0" xfId="3" applyFont="1" applyAlignment="1" applyProtection="1">
      <alignment horizontal="right"/>
      <protection locked="0"/>
    </xf>
    <xf numFmtId="183" fontId="1" fillId="0" borderId="0" xfId="3" applyNumberFormat="1" applyFont="1" applyAlignment="1" applyProtection="1">
      <alignment horizontal="right"/>
      <protection locked="0"/>
    </xf>
    <xf numFmtId="10" fontId="1" fillId="0" borderId="0" xfId="3" applyNumberFormat="1" applyFont="1" applyAlignment="1" applyProtection="1">
      <alignment horizontal="right"/>
      <protection locked="0"/>
    </xf>
    <xf numFmtId="169" fontId="1" fillId="0" borderId="0" xfId="3" applyNumberFormat="1" applyFont="1" applyAlignment="1" applyProtection="1">
      <alignment horizontal="right"/>
      <protection locked="0"/>
    </xf>
    <xf numFmtId="0" fontId="1" fillId="0" borderId="0" xfId="0" applyFont="1" applyAlignment="1" applyProtection="1">
      <alignment horizontal="left"/>
      <protection locked="0"/>
    </xf>
    <xf numFmtId="0" fontId="0" fillId="0" borderId="1" xfId="0" applyBorder="1" applyAlignment="1" applyProtection="1">
      <alignment vertical="top"/>
      <protection hidden="1"/>
    </xf>
    <xf numFmtId="0" fontId="2" fillId="0" borderId="29" xfId="0" applyFont="1" applyBorder="1" applyAlignment="1" applyProtection="1">
      <alignment vertical="top"/>
      <protection hidden="1"/>
    </xf>
    <xf numFmtId="0" fontId="2" fillId="0" borderId="50" xfId="0" applyFont="1" applyBorder="1" applyProtection="1">
      <protection hidden="1"/>
    </xf>
    <xf numFmtId="43" fontId="0" fillId="2" borderId="13" xfId="0" applyNumberFormat="1" applyFill="1" applyBorder="1" applyProtection="1">
      <protection locked="0"/>
    </xf>
    <xf numFmtId="43" fontId="0" fillId="2" borderId="50" xfId="0" applyNumberFormat="1" applyFill="1" applyBorder="1" applyProtection="1">
      <protection locked="0"/>
    </xf>
    <xf numFmtId="43" fontId="70" fillId="2" borderId="50" xfId="0" applyNumberFormat="1" applyFont="1" applyFill="1" applyBorder="1" applyProtection="1">
      <protection locked="0"/>
    </xf>
    <xf numFmtId="0" fontId="2" fillId="0" borderId="27" xfId="0" applyFont="1" applyBorder="1" applyAlignment="1" applyProtection="1">
      <alignment horizontal="center"/>
      <protection locked="0"/>
    </xf>
    <xf numFmtId="0" fontId="1" fillId="0" borderId="1" xfId="0" applyFont="1" applyBorder="1" applyAlignment="1" applyProtection="1">
      <alignment vertical="top"/>
      <protection hidden="1"/>
    </xf>
    <xf numFmtId="1" fontId="7" fillId="2" borderId="4" xfId="0" applyNumberFormat="1" applyFont="1" applyFill="1" applyBorder="1" applyProtection="1">
      <protection hidden="1"/>
    </xf>
    <xf numFmtId="0" fontId="1" fillId="0" borderId="42" xfId="0" applyFont="1" applyBorder="1" applyAlignment="1" applyProtection="1">
      <alignment vertical="top"/>
      <protection hidden="1"/>
    </xf>
    <xf numFmtId="0" fontId="1" fillId="0" borderId="13" xfId="0" applyFont="1" applyBorder="1" applyAlignment="1" applyProtection="1">
      <alignment vertical="top"/>
      <protection hidden="1"/>
    </xf>
    <xf numFmtId="0" fontId="2" fillId="0" borderId="0" xfId="0" applyFont="1"/>
    <xf numFmtId="0" fontId="3" fillId="0" borderId="80" xfId="0" applyFont="1" applyBorder="1" applyAlignment="1" applyProtection="1">
      <alignment horizontal="right" vertical="top" wrapText="1"/>
      <protection hidden="1"/>
    </xf>
    <xf numFmtId="0" fontId="3" fillId="0" borderId="79" xfId="0" applyFont="1" applyBorder="1" applyAlignment="1" applyProtection="1">
      <alignment horizontal="right" vertical="top" wrapText="1"/>
      <protection hidden="1"/>
    </xf>
    <xf numFmtId="2" fontId="0" fillId="2" borderId="50" xfId="0" applyNumberFormat="1" applyFill="1" applyBorder="1" applyAlignment="1" applyProtection="1">
      <alignment vertical="top"/>
      <protection locked="0"/>
    </xf>
    <xf numFmtId="14" fontId="0" fillId="2" borderId="50" xfId="0" applyNumberFormat="1" applyFill="1" applyBorder="1" applyAlignment="1" applyProtection="1">
      <alignment vertical="top"/>
      <protection locked="0"/>
    </xf>
    <xf numFmtId="0" fontId="3" fillId="0" borderId="69" xfId="0" applyFont="1" applyBorder="1" applyAlignment="1" applyProtection="1">
      <alignment vertical="top"/>
      <protection hidden="1"/>
    </xf>
    <xf numFmtId="0" fontId="0" fillId="0" borderId="69" xfId="0" applyBorder="1" applyAlignment="1">
      <alignment vertical="top"/>
    </xf>
    <xf numFmtId="2" fontId="0" fillId="2" borderId="81" xfId="0" applyNumberFormat="1" applyFill="1" applyBorder="1" applyAlignment="1" applyProtection="1">
      <alignment vertical="top"/>
      <protection locked="0"/>
    </xf>
    <xf numFmtId="0" fontId="0" fillId="0" borderId="82" xfId="0" applyBorder="1" applyAlignment="1" applyProtection="1">
      <alignment vertical="top"/>
      <protection hidden="1"/>
    </xf>
    <xf numFmtId="0" fontId="2" fillId="0" borderId="78" xfId="0" applyFont="1" applyBorder="1" applyProtection="1">
      <protection hidden="1"/>
    </xf>
    <xf numFmtId="0" fontId="3" fillId="0" borderId="22" xfId="0" applyFont="1" applyBorder="1" applyProtection="1">
      <protection hidden="1"/>
    </xf>
    <xf numFmtId="0" fontId="0" fillId="0" borderId="22" xfId="0" applyBorder="1"/>
    <xf numFmtId="0" fontId="0" fillId="0" borderId="22" xfId="0" applyBorder="1" applyProtection="1">
      <protection hidden="1"/>
    </xf>
    <xf numFmtId="14" fontId="0" fillId="2" borderId="13" xfId="0" applyNumberFormat="1" applyFill="1" applyBorder="1" applyProtection="1">
      <protection locked="0"/>
    </xf>
    <xf numFmtId="0" fontId="3" fillId="0" borderId="22" xfId="0" applyFont="1" applyBorder="1" applyAlignment="1" applyProtection="1">
      <alignment vertical="top"/>
      <protection hidden="1"/>
    </xf>
    <xf numFmtId="2" fontId="0" fillId="2" borderId="29" xfId="0" applyNumberFormat="1" applyFill="1" applyBorder="1" applyAlignment="1" applyProtection="1">
      <alignment vertical="top"/>
      <protection locked="0"/>
    </xf>
    <xf numFmtId="0" fontId="0" fillId="37" borderId="22" xfId="0" applyFill="1" applyBorder="1" applyAlignment="1" applyProtection="1">
      <alignment vertical="top"/>
      <protection hidden="1"/>
    </xf>
    <xf numFmtId="4" fontId="71" fillId="0" borderId="0" xfId="0" applyNumberFormat="1" applyFont="1" applyAlignment="1" applyProtection="1">
      <alignment horizontal="right" vertical="top"/>
      <protection hidden="1"/>
    </xf>
    <xf numFmtId="2" fontId="0" fillId="2" borderId="4" xfId="3" applyNumberFormat="1" applyFont="1" applyFill="1" applyBorder="1" applyAlignment="1" applyProtection="1">
      <alignment vertical="top"/>
      <protection locked="0"/>
    </xf>
    <xf numFmtId="0" fontId="0" fillId="36" borderId="24" xfId="0" applyFill="1" applyBorder="1" applyAlignment="1" applyProtection="1">
      <alignment horizontal="left" vertical="top"/>
      <protection locked="0"/>
    </xf>
    <xf numFmtId="14" fontId="0" fillId="2" borderId="4" xfId="3" applyNumberFormat="1" applyFont="1" applyFill="1" applyBorder="1" applyAlignment="1" applyProtection="1">
      <alignment vertical="top"/>
      <protection locked="0"/>
    </xf>
    <xf numFmtId="0" fontId="47" fillId="0" borderId="0" xfId="0" applyFont="1"/>
    <xf numFmtId="2" fontId="2" fillId="0" borderId="0" xfId="0" applyNumberFormat="1" applyFont="1" applyAlignment="1" applyProtection="1">
      <alignment vertical="top"/>
      <protection hidden="1"/>
    </xf>
    <xf numFmtId="0" fontId="0" fillId="38" borderId="0" xfId="0" applyFill="1" applyAlignment="1" applyProtection="1">
      <alignment vertical="top"/>
      <protection hidden="1"/>
    </xf>
    <xf numFmtId="0" fontId="1" fillId="0" borderId="12" xfId="0" applyFont="1" applyBorder="1"/>
    <xf numFmtId="0" fontId="0" fillId="37" borderId="0" xfId="0" applyFill="1" applyAlignment="1" applyProtection="1">
      <alignment vertical="top"/>
      <protection hidden="1"/>
    </xf>
    <xf numFmtId="0" fontId="1" fillId="0" borderId="0" xfId="0" applyFont="1" applyAlignment="1">
      <alignment horizontal="left" vertical="top"/>
    </xf>
    <xf numFmtId="0" fontId="73" fillId="0" borderId="14" xfId="0" applyFont="1" applyBorder="1" applyAlignment="1" applyProtection="1">
      <alignment horizontal="left" vertical="top" wrapText="1"/>
      <protection hidden="1"/>
    </xf>
    <xf numFmtId="0" fontId="1" fillId="0" borderId="13" xfId="0" applyFont="1" applyBorder="1" applyAlignment="1" applyProtection="1">
      <alignment wrapText="1"/>
      <protection hidden="1"/>
    </xf>
    <xf numFmtId="0" fontId="1" fillId="0" borderId="83" xfId="0" applyFont="1" applyBorder="1" applyAlignment="1" applyProtection="1">
      <alignment vertical="top"/>
      <protection hidden="1"/>
    </xf>
    <xf numFmtId="0" fontId="1" fillId="0" borderId="29" xfId="0" applyFont="1" applyBorder="1" applyAlignment="1" applyProtection="1">
      <alignment vertical="top"/>
      <protection hidden="1"/>
    </xf>
    <xf numFmtId="4" fontId="0" fillId="2" borderId="50" xfId="0" applyNumberFormat="1" applyFill="1" applyBorder="1"/>
    <xf numFmtId="0" fontId="1" fillId="0" borderId="84" xfId="0" applyFont="1" applyBorder="1" applyAlignment="1" applyProtection="1">
      <alignment vertical="top"/>
      <protection hidden="1"/>
    </xf>
    <xf numFmtId="172" fontId="0" fillId="0" borderId="9" xfId="0" applyNumberFormat="1" applyBorder="1" applyAlignment="1" applyProtection="1">
      <alignment vertical="top"/>
      <protection hidden="1"/>
    </xf>
    <xf numFmtId="0" fontId="1" fillId="0" borderId="67" xfId="0" applyFont="1" applyBorder="1" applyAlignment="1" applyProtection="1">
      <alignment vertical="top"/>
      <protection hidden="1"/>
    </xf>
    <xf numFmtId="172" fontId="0" fillId="0" borderId="85" xfId="0" applyNumberFormat="1" applyBorder="1" applyAlignment="1" applyProtection="1">
      <alignment vertical="top"/>
      <protection hidden="1"/>
    </xf>
    <xf numFmtId="0" fontId="1" fillId="0" borderId="42" xfId="0" applyFont="1" applyBorder="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horizontal="left" vertical="top" wrapText="1"/>
      <protection hidden="1"/>
    </xf>
    <xf numFmtId="0" fontId="3" fillId="0" borderId="0" xfId="0" applyFont="1" applyAlignment="1" applyProtection="1">
      <alignment horizontal="left" vertical="top" wrapText="1"/>
      <protection hidden="1"/>
    </xf>
    <xf numFmtId="0" fontId="66" fillId="0" borderId="0" xfId="0" applyFont="1" applyAlignment="1" applyProtection="1">
      <alignment horizontal="left" vertical="top" wrapText="1"/>
      <protection hidden="1"/>
    </xf>
    <xf numFmtId="0" fontId="0" fillId="0" borderId="0" xfId="0" applyAlignment="1" applyProtection="1">
      <alignment horizontal="left" vertical="top"/>
      <protection hidden="1"/>
    </xf>
    <xf numFmtId="0" fontId="1" fillId="0" borderId="0" xfId="0" applyFont="1" applyAlignment="1" applyProtection="1">
      <alignment horizontal="left" vertical="center" wrapText="1"/>
      <protection hidden="1"/>
    </xf>
    <xf numFmtId="2" fontId="0" fillId="10" borderId="64" xfId="0" applyNumberFormat="1" applyFill="1" applyBorder="1" applyAlignment="1" applyProtection="1">
      <alignment horizontal="left" vertical="top"/>
      <protection hidden="1"/>
    </xf>
    <xf numFmtId="2" fontId="0" fillId="10" borderId="65" xfId="0" applyNumberFormat="1" applyFill="1" applyBorder="1" applyAlignment="1" applyProtection="1">
      <alignment horizontal="left" vertical="top"/>
      <protection hidden="1"/>
    </xf>
    <xf numFmtId="0" fontId="0" fillId="0" borderId="14" xfId="0" applyBorder="1" applyAlignment="1" applyProtection="1">
      <alignment vertical="top" wrapText="1"/>
      <protection hidden="1"/>
    </xf>
    <xf numFmtId="0" fontId="0" fillId="0" borderId="31" xfId="0" applyBorder="1" applyAlignment="1" applyProtection="1">
      <alignment vertical="top" wrapText="1"/>
      <protection hidden="1"/>
    </xf>
    <xf numFmtId="0" fontId="0" fillId="0" borderId="0" xfId="0" applyAlignment="1" applyProtection="1">
      <alignment vertical="top"/>
      <protection hidden="1"/>
    </xf>
    <xf numFmtId="0" fontId="0" fillId="0" borderId="47" xfId="0" applyBorder="1" applyAlignment="1" applyProtection="1">
      <alignment vertical="top"/>
      <protection hidden="1"/>
    </xf>
    <xf numFmtId="0" fontId="1" fillId="2" borderId="42" xfId="0" applyFont="1" applyFill="1" applyBorder="1" applyAlignment="1" applyProtection="1">
      <alignment vertical="top"/>
      <protection locked="0"/>
    </xf>
    <xf numFmtId="0" fontId="7" fillId="2" borderId="18" xfId="0" applyFont="1" applyFill="1" applyBorder="1" applyAlignment="1" applyProtection="1">
      <alignment vertical="top"/>
      <protection locked="0"/>
    </xf>
    <xf numFmtId="0" fontId="7" fillId="2" borderId="38" xfId="0" applyFont="1" applyFill="1" applyBorder="1" applyAlignment="1" applyProtection="1">
      <alignment vertical="top"/>
      <protection locked="0"/>
    </xf>
    <xf numFmtId="0" fontId="7" fillId="0" borderId="18" xfId="0" applyFont="1" applyBorder="1" applyAlignment="1" applyProtection="1">
      <alignment vertical="top"/>
      <protection locked="0"/>
    </xf>
    <xf numFmtId="0" fontId="7" fillId="0" borderId="38" xfId="0" applyFont="1" applyBorder="1" applyAlignment="1" applyProtection="1">
      <alignment vertical="top"/>
      <protection locked="0"/>
    </xf>
    <xf numFmtId="0" fontId="7" fillId="2" borderId="42" xfId="0" applyFont="1" applyFill="1" applyBorder="1" applyAlignment="1" applyProtection="1">
      <alignment vertical="top"/>
      <protection locked="0"/>
    </xf>
    <xf numFmtId="0" fontId="3" fillId="0" borderId="5" xfId="0" applyFont="1" applyBorder="1" applyAlignment="1" applyProtection="1">
      <alignment vertical="top" wrapText="1"/>
      <protection hidden="1"/>
    </xf>
    <xf numFmtId="0" fontId="7" fillId="0" borderId="0" xfId="0" applyFont="1" applyAlignment="1">
      <alignment vertical="top" wrapText="1"/>
    </xf>
    <xf numFmtId="0" fontId="66" fillId="0" borderId="0" xfId="0" applyFont="1" applyAlignment="1" applyProtection="1">
      <alignment horizontal="left" wrapText="1"/>
      <protection hidden="1"/>
    </xf>
    <xf numFmtId="0" fontId="69" fillId="2" borderId="42" xfId="0" applyFont="1" applyFill="1" applyBorder="1" applyAlignment="1" applyProtection="1">
      <alignment vertical="top"/>
      <protection locked="0"/>
    </xf>
    <xf numFmtId="0" fontId="69" fillId="2" borderId="38" xfId="0" applyFont="1" applyFill="1" applyBorder="1" applyAlignment="1" applyProtection="1">
      <alignment vertical="top"/>
      <protection locked="0"/>
    </xf>
    <xf numFmtId="164" fontId="7" fillId="0" borderId="0" xfId="0" applyNumberFormat="1" applyFont="1" applyAlignment="1" applyProtection="1">
      <alignment horizontal="right" vertical="center"/>
      <protection hidden="1"/>
    </xf>
    <xf numFmtId="0" fontId="0" fillId="0" borderId="0" xfId="0" applyAlignment="1">
      <alignment horizontal="right" vertical="center"/>
    </xf>
    <xf numFmtId="0" fontId="7" fillId="0" borderId="5" xfId="0" applyFont="1" applyBorder="1" applyAlignment="1" applyProtection="1">
      <alignment vertical="top" wrapText="1"/>
      <protection hidden="1"/>
    </xf>
    <xf numFmtId="0" fontId="7" fillId="0" borderId="0" xfId="0" applyFont="1" applyAlignment="1" applyProtection="1">
      <alignment vertical="top" wrapText="1"/>
      <protection hidden="1"/>
    </xf>
    <xf numFmtId="0" fontId="0" fillId="0" borderId="0" xfId="0" applyAlignment="1">
      <alignment vertical="top" wrapText="1"/>
    </xf>
    <xf numFmtId="0" fontId="0" fillId="0" borderId="22" xfId="0" applyBorder="1" applyAlignment="1" applyProtection="1">
      <alignment vertical="top" wrapText="1"/>
      <protection hidden="1"/>
    </xf>
    <xf numFmtId="0" fontId="0" fillId="0" borderId="22" xfId="0" applyBorder="1" applyAlignment="1">
      <alignment vertical="top" wrapText="1"/>
    </xf>
    <xf numFmtId="0" fontId="0" fillId="0" borderId="30" xfId="0" applyBorder="1" applyAlignment="1">
      <alignment vertical="top" wrapText="1"/>
    </xf>
    <xf numFmtId="0" fontId="0" fillId="0" borderId="14" xfId="0" applyBorder="1" applyAlignment="1">
      <alignment vertical="top" wrapText="1"/>
    </xf>
    <xf numFmtId="0" fontId="0" fillId="0" borderId="31" xfId="0" applyBorder="1" applyAlignment="1">
      <alignment vertical="top" wrapText="1"/>
    </xf>
    <xf numFmtId="0" fontId="1" fillId="0" borderId="14" xfId="0" applyFont="1" applyBorder="1" applyAlignment="1" applyProtection="1">
      <alignment vertical="top" wrapText="1"/>
      <protection hidden="1"/>
    </xf>
    <xf numFmtId="0" fontId="1" fillId="0" borderId="14" xfId="0" applyFont="1" applyBorder="1" applyAlignment="1">
      <alignment vertical="top" wrapText="1"/>
    </xf>
    <xf numFmtId="0" fontId="1" fillId="0" borderId="31" xfId="0" applyFont="1" applyBorder="1" applyAlignment="1">
      <alignment vertical="top" wrapText="1"/>
    </xf>
    <xf numFmtId="0" fontId="0" fillId="0" borderId="4" xfId="0" applyBorder="1" applyAlignment="1" applyProtection="1">
      <alignment horizontal="center" vertical="top"/>
      <protection hidden="1"/>
    </xf>
    <xf numFmtId="0" fontId="3" fillId="0" borderId="0" xfId="0" applyFont="1" applyAlignment="1" applyProtection="1">
      <alignment vertical="top" wrapText="1"/>
      <protection hidden="1"/>
    </xf>
    <xf numFmtId="0" fontId="2" fillId="0" borderId="0" xfId="0" applyFont="1" applyAlignment="1" applyProtection="1">
      <alignment vertical="center" wrapText="1"/>
      <protection hidden="1"/>
    </xf>
    <xf numFmtId="0" fontId="2" fillId="0" borderId="0" xfId="0" applyFont="1" applyAlignment="1">
      <alignment vertical="center" wrapText="1"/>
    </xf>
    <xf numFmtId="0" fontId="3" fillId="0" borderId="0" xfId="0" applyFont="1" applyAlignment="1" applyProtection="1">
      <alignment vertical="center" wrapText="1"/>
      <protection hidden="1"/>
    </xf>
    <xf numFmtId="0" fontId="7" fillId="0" borderId="0" xfId="0" applyFont="1" applyAlignment="1">
      <alignment vertical="center" wrapText="1"/>
    </xf>
    <xf numFmtId="0" fontId="68" fillId="0" borderId="0" xfId="0" applyFont="1" applyAlignment="1" applyProtection="1">
      <alignment vertical="top" wrapText="1"/>
      <protection hidden="1"/>
    </xf>
    <xf numFmtId="0" fontId="0" fillId="0" borderId="1" xfId="0" applyBorder="1" applyAlignment="1" applyProtection="1">
      <alignment vertical="top"/>
      <protection hidden="1"/>
    </xf>
    <xf numFmtId="0" fontId="0" fillId="0" borderId="3" xfId="0" applyBorder="1" applyAlignment="1">
      <alignment vertical="top"/>
    </xf>
    <xf numFmtId="0" fontId="3" fillId="0" borderId="9" xfId="0" applyFont="1" applyBorder="1" applyAlignment="1" applyProtection="1">
      <alignment wrapText="1"/>
      <protection hidden="1"/>
    </xf>
    <xf numFmtId="0" fontId="0" fillId="0" borderId="9" xfId="0" applyBorder="1" applyAlignment="1">
      <alignment wrapText="1"/>
    </xf>
    <xf numFmtId="164" fontId="7" fillId="0" borderId="0" xfId="0" applyNumberFormat="1" applyFont="1" applyAlignment="1" applyProtection="1">
      <alignment horizontal="right" vertical="top"/>
      <protection hidden="1"/>
    </xf>
    <xf numFmtId="0" fontId="7" fillId="0" borderId="0" xfId="0" applyFont="1" applyAlignment="1">
      <alignment horizontal="right" vertical="top"/>
    </xf>
    <xf numFmtId="0" fontId="0" fillId="5" borderId="42" xfId="0" applyFill="1" applyBorder="1" applyAlignment="1" applyProtection="1">
      <alignment horizontal="left" vertical="top" wrapText="1"/>
      <protection locked="0"/>
    </xf>
    <xf numFmtId="0" fontId="0" fillId="5" borderId="18" xfId="0" applyFill="1" applyBorder="1" applyAlignment="1" applyProtection="1">
      <alignment horizontal="left" vertical="top" wrapText="1"/>
      <protection locked="0"/>
    </xf>
    <xf numFmtId="0" fontId="0" fillId="5" borderId="38" xfId="0" applyFill="1" applyBorder="1" applyAlignment="1" applyProtection="1">
      <alignment horizontal="left" vertical="top" wrapText="1"/>
      <protection locked="0"/>
    </xf>
    <xf numFmtId="0" fontId="0" fillId="0" borderId="14" xfId="0" applyBorder="1" applyAlignment="1" applyProtection="1">
      <alignment vertical="top"/>
      <protection hidden="1"/>
    </xf>
    <xf numFmtId="0" fontId="0" fillId="0" borderId="49" xfId="0" applyBorder="1" applyAlignment="1" applyProtection="1">
      <alignment vertical="top" wrapText="1"/>
      <protection hidden="1"/>
    </xf>
    <xf numFmtId="0" fontId="0" fillId="0" borderId="49" xfId="0" applyBorder="1" applyAlignment="1" applyProtection="1">
      <alignment vertical="top"/>
      <protection hidden="1"/>
    </xf>
    <xf numFmtId="0" fontId="7" fillId="0" borderId="14" xfId="0" applyFont="1" applyBorder="1" applyAlignment="1" applyProtection="1">
      <alignment vertical="top"/>
      <protection hidden="1"/>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8" xfId="0" applyFill="1" applyBorder="1" applyAlignment="1" applyProtection="1">
      <alignment horizontal="left" vertical="top"/>
      <protection locked="0"/>
    </xf>
    <xf numFmtId="0" fontId="3" fillId="0" borderId="14" xfId="0" applyFont="1" applyBorder="1" applyAlignment="1" applyProtection="1">
      <alignment vertical="top" wrapText="1"/>
      <protection hidden="1"/>
    </xf>
    <xf numFmtId="0" fontId="1" fillId="0" borderId="69" xfId="0" applyFont="1" applyBorder="1" applyAlignment="1" applyProtection="1">
      <alignment vertical="top" wrapText="1"/>
      <protection hidden="1"/>
    </xf>
    <xf numFmtId="0" fontId="0" fillId="0" borderId="22" xfId="0" applyBorder="1" applyProtection="1">
      <protection hidden="1"/>
    </xf>
    <xf numFmtId="0" fontId="3" fillId="0" borderId="69" xfId="0" applyFont="1" applyBorder="1" applyAlignment="1" applyProtection="1">
      <alignment horizontal="left" vertical="top" wrapText="1"/>
      <protection hidden="1"/>
    </xf>
    <xf numFmtId="0" fontId="0" fillId="5" borderId="42" xfId="0" applyFill="1" applyBorder="1" applyAlignment="1" applyProtection="1">
      <alignment vertical="top"/>
      <protection locked="0"/>
    </xf>
    <xf numFmtId="0" fontId="0" fillId="5" borderId="18" xfId="0" applyFill="1" applyBorder="1" applyAlignment="1" applyProtection="1">
      <alignment vertical="top"/>
      <protection locked="0"/>
    </xf>
    <xf numFmtId="0" fontId="0" fillId="5" borderId="38" xfId="0" applyFill="1" applyBorder="1" applyAlignment="1" applyProtection="1">
      <alignment vertical="top"/>
      <protection locked="0"/>
    </xf>
    <xf numFmtId="0" fontId="1" fillId="0" borderId="49" xfId="0" applyFont="1" applyBorder="1" applyAlignment="1" applyProtection="1">
      <alignment vertical="top" wrapText="1"/>
      <protection hidden="1"/>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0" fontId="7" fillId="0" borderId="0" xfId="0" applyFont="1" applyAlignment="1" applyProtection="1">
      <alignment vertical="top" shrinkToFit="1"/>
      <protection hidden="1"/>
    </xf>
    <xf numFmtId="0" fontId="1" fillId="0" borderId="0" xfId="0" applyFont="1" applyAlignment="1" applyProtection="1">
      <alignment horizontal="right" vertical="center" wrapText="1"/>
      <protection hidden="1"/>
    </xf>
    <xf numFmtId="0" fontId="0" fillId="0" borderId="0" xfId="0" applyAlignment="1">
      <alignment horizontal="right" vertical="center" wrapText="1"/>
    </xf>
    <xf numFmtId="0" fontId="0" fillId="0" borderId="47" xfId="0" applyBorder="1" applyAlignment="1">
      <alignment horizontal="right" vertical="center" wrapText="1"/>
    </xf>
    <xf numFmtId="0" fontId="1" fillId="0" borderId="40" xfId="2" applyFont="1" applyBorder="1" applyAlignment="1" applyProtection="1">
      <alignment vertical="top" wrapText="1"/>
      <protection hidden="1"/>
    </xf>
    <xf numFmtId="0" fontId="0" fillId="2" borderId="4" xfId="0" applyFill="1" applyBorder="1" applyAlignment="1" applyProtection="1">
      <alignment vertical="top" wrapText="1"/>
      <protection locked="0"/>
    </xf>
    <xf numFmtId="0" fontId="0" fillId="0" borderId="14" xfId="0" applyBorder="1" applyAlignment="1" applyProtection="1">
      <alignment horizontal="left" vertical="top" indent="1"/>
      <protection hidden="1"/>
    </xf>
    <xf numFmtId="0" fontId="3" fillId="0" borderId="0" xfId="0" applyFont="1" applyAlignment="1" applyProtection="1">
      <alignment horizontal="left" vertical="top"/>
      <protection hidden="1"/>
    </xf>
    <xf numFmtId="0" fontId="3" fillId="0" borderId="14" xfId="0" applyFont="1" applyBorder="1" applyAlignment="1" applyProtection="1">
      <alignment horizontal="left" vertical="top" wrapText="1"/>
      <protection hidden="1"/>
    </xf>
    <xf numFmtId="0" fontId="3" fillId="0" borderId="14" xfId="0" applyFont="1" applyBorder="1" applyAlignment="1" applyProtection="1">
      <alignment horizontal="left" vertical="top"/>
      <protection hidden="1"/>
    </xf>
    <xf numFmtId="0" fontId="0" fillId="0" borderId="14" xfId="0" applyBorder="1" applyAlignment="1" applyProtection="1">
      <alignment horizontal="left" vertical="top"/>
      <protection hidden="1"/>
    </xf>
    <xf numFmtId="0" fontId="0" fillId="0" borderId="14" xfId="0" applyBorder="1" applyAlignment="1" applyProtection="1">
      <alignment horizontal="left" vertical="top" wrapText="1"/>
      <protection hidden="1"/>
    </xf>
    <xf numFmtId="0" fontId="24" fillId="0" borderId="14" xfId="0" applyFont="1" applyBorder="1" applyAlignment="1" applyProtection="1">
      <alignment horizontal="left" vertical="top" wrapText="1"/>
      <protection hidden="1"/>
    </xf>
    <xf numFmtId="0" fontId="24" fillId="0" borderId="31" xfId="0" applyFont="1" applyBorder="1" applyAlignment="1" applyProtection="1">
      <alignment horizontal="left" vertical="top" wrapText="1"/>
      <protection hidden="1"/>
    </xf>
    <xf numFmtId="0" fontId="2" fillId="0" borderId="22" xfId="0" applyFont="1" applyBorder="1" applyAlignment="1" applyProtection="1">
      <alignment horizontal="left"/>
      <protection hidden="1"/>
    </xf>
    <xf numFmtId="0" fontId="13" fillId="0" borderId="22" xfId="2" applyBorder="1" applyAlignment="1" applyProtection="1">
      <alignment vertical="top" wrapText="1"/>
      <protection hidden="1"/>
    </xf>
    <xf numFmtId="0" fontId="7" fillId="0" borderId="77" xfId="0" applyFont="1" applyBorder="1" applyAlignment="1" applyProtection="1">
      <alignment vertical="top" shrinkToFit="1"/>
      <protection hidden="1"/>
    </xf>
    <xf numFmtId="0" fontId="1" fillId="0" borderId="0" xfId="0" applyFont="1" applyAlignment="1" applyProtection="1">
      <alignment vertical="top" wrapText="1"/>
      <protection hidden="1"/>
    </xf>
    <xf numFmtId="0" fontId="1" fillId="0" borderId="0" xfId="0" applyFont="1" applyAlignment="1">
      <alignment vertical="top" wrapText="1"/>
    </xf>
    <xf numFmtId="164" fontId="7" fillId="0" borderId="0" xfId="0" applyNumberFormat="1" applyFont="1" applyAlignment="1">
      <alignment horizontal="right" vertical="center"/>
    </xf>
    <xf numFmtId="0" fontId="7" fillId="0" borderId="0" xfId="0" applyFont="1" applyAlignment="1">
      <alignment horizontal="right" vertical="center"/>
    </xf>
    <xf numFmtId="0" fontId="0" fillId="0" borderId="0" xfId="0" applyAlignment="1">
      <alignment vertical="top"/>
    </xf>
    <xf numFmtId="0" fontId="0" fillId="0" borderId="6" xfId="0" applyBorder="1" applyAlignment="1">
      <alignment vertical="top"/>
    </xf>
    <xf numFmtId="0" fontId="0" fillId="0" borderId="14" xfId="0" applyBorder="1"/>
    <xf numFmtId="0" fontId="0" fillId="0" borderId="31" xfId="0" applyBorder="1"/>
    <xf numFmtId="0" fontId="0" fillId="2" borderId="42" xfId="0" applyFill="1" applyBorder="1" applyAlignment="1" applyProtection="1">
      <alignment vertical="top"/>
      <protection locked="0"/>
    </xf>
    <xf numFmtId="0" fontId="0" fillId="2" borderId="18" xfId="0" applyFill="1" applyBorder="1" applyAlignment="1" applyProtection="1">
      <alignment vertical="top"/>
      <protection locked="0"/>
    </xf>
    <xf numFmtId="0" fontId="0" fillId="2" borderId="38" xfId="0" applyFill="1" applyBorder="1" applyAlignment="1" applyProtection="1">
      <alignment vertical="top"/>
      <protection locked="0"/>
    </xf>
    <xf numFmtId="0" fontId="0" fillId="0" borderId="14" xfId="0" applyBorder="1" applyAlignment="1" applyProtection="1">
      <alignment vertical="center" shrinkToFit="1"/>
      <protection hidden="1"/>
    </xf>
    <xf numFmtId="0" fontId="0" fillId="0" borderId="14" xfId="0" applyBorder="1" applyAlignment="1" applyProtection="1">
      <alignment horizontal="left" vertical="center" shrinkToFit="1"/>
      <protection hidden="1"/>
    </xf>
    <xf numFmtId="0" fontId="0" fillId="0" borderId="31" xfId="0" applyBorder="1" applyAlignment="1" applyProtection="1">
      <alignment horizontal="left" vertical="center" shrinkToFit="1"/>
      <protection hidden="1"/>
    </xf>
    <xf numFmtId="0" fontId="0" fillId="2" borderId="4" xfId="0" applyFill="1" applyBorder="1" applyAlignment="1" applyProtection="1">
      <alignment vertical="top"/>
      <protection locked="0"/>
    </xf>
    <xf numFmtId="0" fontId="2" fillId="0" borderId="22" xfId="0" applyFont="1" applyBorder="1" applyAlignment="1" applyProtection="1">
      <alignment horizontal="left" wrapText="1"/>
      <protection hidden="1"/>
    </xf>
    <xf numFmtId="0" fontId="1" fillId="0" borderId="0" xfId="0" applyFont="1" applyAlignment="1" applyProtection="1">
      <alignment horizontal="left" vertical="top" wrapText="1"/>
      <protection hidden="1"/>
    </xf>
    <xf numFmtId="0" fontId="1" fillId="0" borderId="0" xfId="0" applyFont="1" applyAlignment="1" applyProtection="1">
      <alignment horizontal="right" vertical="top"/>
      <protection hidden="1"/>
    </xf>
    <xf numFmtId="0" fontId="1" fillId="0" borderId="6" xfId="0" applyFont="1" applyBorder="1" applyAlignment="1" applyProtection="1">
      <alignment horizontal="right" vertical="top"/>
      <protection hidden="1"/>
    </xf>
    <xf numFmtId="0" fontId="0" fillId="0" borderId="0" xfId="0" applyAlignment="1" applyProtection="1">
      <alignment horizontal="right" vertical="top"/>
      <protection hidden="1"/>
    </xf>
    <xf numFmtId="0" fontId="0" fillId="0" borderId="6" xfId="0" applyBorder="1" applyAlignment="1" applyProtection="1">
      <alignment horizontal="right" vertical="top"/>
      <protection hidden="1"/>
    </xf>
    <xf numFmtId="0" fontId="0" fillId="0" borderId="47" xfId="0" applyBorder="1" applyAlignment="1" applyProtection="1">
      <alignment horizontal="right" vertical="top"/>
      <protection hidden="1"/>
    </xf>
    <xf numFmtId="0" fontId="66" fillId="0" borderId="0" xfId="0" applyFont="1" applyAlignment="1" applyProtection="1">
      <alignment horizontal="left" vertical="top"/>
      <protection hidden="1"/>
    </xf>
    <xf numFmtId="0" fontId="0" fillId="0" borderId="69" xfId="0" applyBorder="1" applyAlignment="1" applyProtection="1">
      <alignment vertical="top"/>
      <protection hidden="1"/>
    </xf>
    <xf numFmtId="0" fontId="3" fillId="0" borderId="69" xfId="0" applyFont="1" applyBorder="1" applyAlignment="1" applyProtection="1">
      <alignment vertical="top"/>
      <protection hidden="1"/>
    </xf>
    <xf numFmtId="0" fontId="0" fillId="0" borderId="69" xfId="0" applyBorder="1" applyAlignment="1">
      <alignment vertical="top"/>
    </xf>
    <xf numFmtId="0" fontId="72" fillId="0" borderId="0" xfId="0" applyFont="1" applyAlignment="1" applyProtection="1">
      <alignment horizontal="left" wrapText="1"/>
      <protection hidden="1"/>
    </xf>
    <xf numFmtId="0" fontId="39" fillId="0" borderId="49" xfId="0" applyFont="1" applyBorder="1" applyAlignment="1" applyProtection="1">
      <alignment vertical="top"/>
      <protection hidden="1"/>
    </xf>
    <xf numFmtId="0" fontId="10" fillId="0" borderId="31" xfId="0" applyFont="1" applyBorder="1" applyAlignment="1">
      <alignment vertical="top"/>
    </xf>
    <xf numFmtId="0" fontId="3" fillId="0" borderId="14" xfId="0" applyFont="1" applyBorder="1" applyAlignment="1" applyProtection="1">
      <alignment vertical="top"/>
      <protection hidden="1"/>
    </xf>
    <xf numFmtId="0" fontId="0" fillId="0" borderId="14" xfId="0" applyBorder="1" applyAlignment="1">
      <alignment vertical="top"/>
    </xf>
    <xf numFmtId="0" fontId="0" fillId="0" borderId="31" xfId="0" applyBorder="1" applyAlignment="1">
      <alignment vertical="top"/>
    </xf>
    <xf numFmtId="0" fontId="39" fillId="0" borderId="22" xfId="0" applyFont="1" applyBorder="1" applyAlignment="1" applyProtection="1">
      <alignment vertical="top"/>
      <protection hidden="1"/>
    </xf>
    <xf numFmtId="0" fontId="10" fillId="0" borderId="30" xfId="0" applyFont="1" applyBorder="1" applyAlignment="1">
      <alignment vertical="top"/>
    </xf>
    <xf numFmtId="0" fontId="3" fillId="0" borderId="14" xfId="0" applyFont="1" applyBorder="1" applyAlignment="1">
      <alignment vertical="top"/>
    </xf>
    <xf numFmtId="0" fontId="3" fillId="0" borderId="31" xfId="0" applyFont="1" applyBorder="1" applyAlignment="1">
      <alignment vertical="top"/>
    </xf>
    <xf numFmtId="0" fontId="0" fillId="0" borderId="3" xfId="0" applyBorder="1" applyAlignment="1" applyProtection="1">
      <alignment vertical="top"/>
      <protection hidden="1"/>
    </xf>
    <xf numFmtId="0" fontId="0" fillId="0" borderId="7" xfId="0" applyBorder="1" applyAlignment="1" applyProtection="1">
      <alignment vertical="top"/>
      <protection hidden="1"/>
    </xf>
    <xf numFmtId="0" fontId="0" fillId="0" borderId="8" xfId="0" applyBorder="1" applyAlignment="1">
      <alignment vertical="top"/>
    </xf>
    <xf numFmtId="0" fontId="3" fillId="0" borderId="0" xfId="0" applyFont="1" applyAlignment="1" applyProtection="1">
      <alignment wrapText="1"/>
      <protection hidden="1"/>
    </xf>
    <xf numFmtId="0" fontId="0" fillId="0" borderId="0" xfId="0" applyAlignment="1">
      <alignment wrapText="1"/>
    </xf>
    <xf numFmtId="0" fontId="72" fillId="0" borderId="0" xfId="0" applyFont="1" applyAlignment="1" applyProtection="1">
      <alignment horizontal="left" vertical="top"/>
      <protection hidden="1"/>
    </xf>
    <xf numFmtId="0" fontId="0" fillId="5" borderId="42" xfId="0" applyFill="1" applyBorder="1" applyAlignment="1" applyProtection="1">
      <alignment horizontal="left" vertical="top"/>
      <protection locked="0"/>
    </xf>
    <xf numFmtId="0" fontId="0" fillId="5" borderId="18" xfId="0" applyFill="1" applyBorder="1" applyAlignment="1" applyProtection="1">
      <alignment horizontal="left" vertical="top"/>
      <protection locked="0"/>
    </xf>
    <xf numFmtId="0" fontId="0" fillId="5" borderId="38" xfId="0" applyFill="1" applyBorder="1" applyAlignment="1" applyProtection="1">
      <alignment horizontal="left" vertical="top"/>
      <protection locked="0"/>
    </xf>
    <xf numFmtId="0" fontId="0" fillId="0" borderId="0" xfId="0" applyAlignment="1" applyProtection="1">
      <alignment horizontal="left" wrapText="1"/>
      <protection hidden="1"/>
    </xf>
    <xf numFmtId="0" fontId="0" fillId="0" borderId="0" xfId="0" applyProtection="1">
      <protection hidden="1"/>
    </xf>
    <xf numFmtId="0" fontId="7" fillId="0" borderId="42" xfId="0" applyFont="1" applyBorder="1" applyAlignment="1" applyProtection="1">
      <alignment vertical="top" shrinkToFit="1"/>
      <protection hidden="1"/>
    </xf>
    <xf numFmtId="0" fontId="0" fillId="0" borderId="38" xfId="0" applyBorder="1" applyAlignment="1">
      <alignment vertical="top" shrinkToFit="1"/>
    </xf>
    <xf numFmtId="2" fontId="0" fillId="5" borderId="67" xfId="0" applyNumberFormat="1" applyFill="1" applyBorder="1" applyAlignment="1" applyProtection="1">
      <alignment horizontal="left" vertical="top"/>
      <protection locked="0"/>
    </xf>
    <xf numFmtId="0" fontId="0" fillId="5" borderId="67" xfId="0" applyFill="1" applyBorder="1" applyAlignment="1" applyProtection="1">
      <alignment horizontal="left" vertical="top"/>
      <protection locked="0"/>
    </xf>
    <xf numFmtId="2" fontId="1" fillId="5" borderId="67" xfId="0" applyNumberFormat="1" applyFont="1" applyFill="1" applyBorder="1" applyAlignment="1" applyProtection="1">
      <alignment horizontal="left" vertical="top"/>
      <protection locked="0"/>
    </xf>
    <xf numFmtId="181" fontId="1" fillId="2" borderId="67" xfId="0" applyNumberFormat="1" applyFont="1" applyFill="1" applyBorder="1" applyAlignment="1" applyProtection="1">
      <alignment horizontal="left" vertical="top"/>
      <protection locked="0"/>
    </xf>
    <xf numFmtId="181" fontId="0" fillId="2" borderId="67" xfId="0" applyNumberFormat="1" applyFill="1" applyBorder="1" applyAlignment="1" applyProtection="1">
      <alignment horizontal="left" vertical="top"/>
      <protection locked="0"/>
    </xf>
    <xf numFmtId="9" fontId="0" fillId="0" borderId="70" xfId="3" applyFont="1" applyFill="1" applyBorder="1" applyAlignment="1" applyProtection="1">
      <alignment horizontal="left" vertical="top"/>
      <protection hidden="1"/>
    </xf>
    <xf numFmtId="9" fontId="0" fillId="0" borderId="67" xfId="3" applyFont="1" applyFill="1" applyBorder="1" applyAlignment="1" applyProtection="1">
      <alignment horizontal="left" vertical="top"/>
      <protection hidden="1"/>
    </xf>
    <xf numFmtId="173" fontId="0" fillId="2" borderId="67" xfId="1" applyNumberFormat="1" applyFont="1" applyFill="1" applyBorder="1" applyAlignment="1" applyProtection="1">
      <alignment horizontal="left" vertical="top"/>
      <protection locked="0"/>
    </xf>
    <xf numFmtId="10" fontId="0" fillId="0" borderId="70" xfId="3" applyNumberFormat="1" applyFont="1" applyFill="1" applyBorder="1" applyAlignment="1" applyProtection="1">
      <alignment horizontal="left" vertical="top"/>
      <protection hidden="1"/>
    </xf>
    <xf numFmtId="10" fontId="0" fillId="0" borderId="67" xfId="3" applyNumberFormat="1" applyFont="1" applyFill="1" applyBorder="1" applyAlignment="1" applyProtection="1">
      <alignment horizontal="left" vertical="top"/>
      <protection hidden="1"/>
    </xf>
    <xf numFmtId="0" fontId="1" fillId="0" borderId="0" xfId="0" applyFont="1" applyAlignment="1" applyProtection="1">
      <alignment horizontal="left" wrapText="1"/>
      <protection hidden="1"/>
    </xf>
    <xf numFmtId="0" fontId="1" fillId="0" borderId="0" xfId="0" applyFont="1" applyAlignment="1" applyProtection="1">
      <alignment horizontal="left" vertical="top"/>
      <protection hidden="1"/>
    </xf>
    <xf numFmtId="0" fontId="0" fillId="0" borderId="27" xfId="0" applyBorder="1" applyAlignment="1" applyProtection="1">
      <alignment horizontal="center" vertical="top"/>
      <protection hidden="1"/>
    </xf>
    <xf numFmtId="0" fontId="0" fillId="0" borderId="29"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1" fillId="0" borderId="27" xfId="0" applyFont="1" applyBorder="1" applyAlignment="1" applyProtection="1">
      <alignment horizontal="center" vertical="top"/>
      <protection hidden="1"/>
    </xf>
    <xf numFmtId="0" fontId="1" fillId="0" borderId="29" xfId="0" applyFont="1" applyBorder="1" applyAlignment="1" applyProtection="1">
      <alignment horizontal="center" vertical="top"/>
      <protection hidden="1"/>
    </xf>
    <xf numFmtId="0" fontId="1" fillId="0" borderId="13" xfId="0" applyFont="1" applyBorder="1" applyAlignment="1" applyProtection="1">
      <alignment horizontal="center" vertical="top"/>
      <protection hidden="1"/>
    </xf>
    <xf numFmtId="0" fontId="2" fillId="0" borderId="27" xfId="0" applyFont="1" applyBorder="1" applyAlignment="1" applyProtection="1">
      <alignment vertical="top"/>
      <protection hidden="1"/>
    </xf>
    <xf numFmtId="0" fontId="2" fillId="0" borderId="29" xfId="0" applyFont="1" applyBorder="1" applyAlignment="1" applyProtection="1">
      <alignment vertical="top"/>
      <protection hidden="1"/>
    </xf>
    <xf numFmtId="172" fontId="0" fillId="0" borderId="27" xfId="0" applyNumberFormat="1" applyBorder="1" applyAlignment="1" applyProtection="1">
      <alignment vertical="top"/>
      <protection hidden="1"/>
    </xf>
    <xf numFmtId="172" fontId="0" fillId="0" borderId="29" xfId="0" applyNumberFormat="1" applyBorder="1" applyAlignment="1" applyProtection="1">
      <alignment vertical="top"/>
      <protection hidden="1"/>
    </xf>
    <xf numFmtId="0" fontId="0" fillId="0" borderId="27" xfId="0" applyBorder="1" applyAlignment="1" applyProtection="1">
      <alignment vertical="top"/>
      <protection hidden="1"/>
    </xf>
    <xf numFmtId="0" fontId="0" fillId="0" borderId="29" xfId="0" applyBorder="1" applyAlignment="1" applyProtection="1">
      <alignment vertical="top"/>
      <protection hidden="1"/>
    </xf>
    <xf numFmtId="0" fontId="1" fillId="0" borderId="27" xfId="0" applyFont="1" applyBorder="1" applyAlignment="1" applyProtection="1">
      <alignment vertical="top"/>
      <protection hidden="1"/>
    </xf>
  </cellXfs>
  <cellStyles count="60">
    <cellStyle name="20 % - Akzent1 2" xfId="6" xr:uid="{00000000-0005-0000-0000-000000000000}"/>
    <cellStyle name="20 % - Akzent2 2" xfId="7" xr:uid="{00000000-0005-0000-0000-000001000000}"/>
    <cellStyle name="20 % - Akzent3 2" xfId="8" xr:uid="{00000000-0005-0000-0000-000002000000}"/>
    <cellStyle name="20 % - Akzent4 2" xfId="9" xr:uid="{00000000-0005-0000-0000-000003000000}"/>
    <cellStyle name="20 % - Akzent5 2" xfId="10" xr:uid="{00000000-0005-0000-0000-000004000000}"/>
    <cellStyle name="20 % - Akzent6 2" xfId="11" xr:uid="{00000000-0005-0000-0000-000005000000}"/>
    <cellStyle name="40 % - Akzent1 2" xfId="12" xr:uid="{00000000-0005-0000-0000-000006000000}"/>
    <cellStyle name="40 % - Akzent2 2" xfId="13" xr:uid="{00000000-0005-0000-0000-000007000000}"/>
    <cellStyle name="40 % - Akzent3 2" xfId="14" xr:uid="{00000000-0005-0000-0000-000008000000}"/>
    <cellStyle name="40 % - Akzent4 2" xfId="15" xr:uid="{00000000-0005-0000-0000-000009000000}"/>
    <cellStyle name="40 % - Akzent5 2" xfId="16" xr:uid="{00000000-0005-0000-0000-00000A000000}"/>
    <cellStyle name="40 % - Akzent6 2" xfId="17" xr:uid="{00000000-0005-0000-0000-00000B000000}"/>
    <cellStyle name="60 % - Akzent1 2" xfId="18" xr:uid="{00000000-0005-0000-0000-00000C000000}"/>
    <cellStyle name="60 % - Akzent2 2" xfId="19" xr:uid="{00000000-0005-0000-0000-00000D000000}"/>
    <cellStyle name="60 % - Akzent3 2" xfId="20" xr:uid="{00000000-0005-0000-0000-00000E000000}"/>
    <cellStyle name="60 % - Akzent4 2" xfId="21" xr:uid="{00000000-0005-0000-0000-00000F000000}"/>
    <cellStyle name="60 % - Akzent5 2" xfId="22" xr:uid="{00000000-0005-0000-0000-000010000000}"/>
    <cellStyle name="60 % - Akzent6 2" xfId="23" xr:uid="{00000000-0005-0000-0000-000011000000}"/>
    <cellStyle name="Akzent1 2" xfId="24" xr:uid="{00000000-0005-0000-0000-000012000000}"/>
    <cellStyle name="Akzent2 2" xfId="25" xr:uid="{00000000-0005-0000-0000-000013000000}"/>
    <cellStyle name="Akzent3 2" xfId="26" xr:uid="{00000000-0005-0000-0000-000014000000}"/>
    <cellStyle name="Akzent4 2" xfId="27" xr:uid="{00000000-0005-0000-0000-000015000000}"/>
    <cellStyle name="Akzent5 2" xfId="28" xr:uid="{00000000-0005-0000-0000-000016000000}"/>
    <cellStyle name="Akzent6 2" xfId="29" xr:uid="{00000000-0005-0000-0000-000017000000}"/>
    <cellStyle name="Ausgabe 2" xfId="52" xr:uid="{00000000-0005-0000-0000-000018000000}"/>
    <cellStyle name="Ausgabe 3" xfId="30" xr:uid="{00000000-0005-0000-0000-000019000000}"/>
    <cellStyle name="Berechnung 2" xfId="53" xr:uid="{00000000-0005-0000-0000-00001A000000}"/>
    <cellStyle name="Berechnung 3" xfId="31" xr:uid="{00000000-0005-0000-0000-00001B000000}"/>
    <cellStyle name="Eingabe 2" xfId="55" xr:uid="{00000000-0005-0000-0000-00001C000000}"/>
    <cellStyle name="Eingabe 3" xfId="33" xr:uid="{00000000-0005-0000-0000-00001D000000}"/>
    <cellStyle name="Ergebnis 2" xfId="56" xr:uid="{00000000-0005-0000-0000-00001E000000}"/>
    <cellStyle name="Ergebnis 3" xfId="34" xr:uid="{00000000-0005-0000-0000-00001F000000}"/>
    <cellStyle name="Erklärender Text 2" xfId="35" xr:uid="{00000000-0005-0000-0000-000020000000}"/>
    <cellStyle name="Gut 2" xfId="36" xr:uid="{00000000-0005-0000-0000-000021000000}"/>
    <cellStyle name="Komma" xfId="1" builtinId="3"/>
    <cellStyle name="Komma 2" xfId="54" xr:uid="{00000000-0005-0000-0000-000023000000}"/>
    <cellStyle name="Komma 3" xfId="32" xr:uid="{00000000-0005-0000-0000-000024000000}"/>
    <cellStyle name="Link" xfId="2" builtinId="8"/>
    <cellStyle name="Neutral 2" xfId="37" xr:uid="{00000000-0005-0000-0000-000026000000}"/>
    <cellStyle name="Notiz 2" xfId="57" xr:uid="{00000000-0005-0000-0000-000027000000}"/>
    <cellStyle name="Notiz 3" xfId="38" xr:uid="{00000000-0005-0000-0000-000028000000}"/>
    <cellStyle name="Prozent" xfId="3" builtinId="5"/>
    <cellStyle name="Prozent 2" xfId="4" xr:uid="{00000000-0005-0000-0000-00002A000000}"/>
    <cellStyle name="Prozent 2 2" xfId="58" xr:uid="{00000000-0005-0000-0000-00002B000000}"/>
    <cellStyle name="Prozent 2 3" xfId="39" xr:uid="{00000000-0005-0000-0000-00002C000000}"/>
    <cellStyle name="Schlecht 2" xfId="40" xr:uid="{00000000-0005-0000-0000-00002D000000}"/>
    <cellStyle name="Standard" xfId="0" builtinId="0"/>
    <cellStyle name="Standard 2" xfId="5" xr:uid="{00000000-0005-0000-0000-00002F000000}"/>
    <cellStyle name="Standard 2 2" xfId="59" xr:uid="{00000000-0005-0000-0000-000030000000}"/>
    <cellStyle name="Standard 2 3" xfId="41" xr:uid="{00000000-0005-0000-0000-000031000000}"/>
    <cellStyle name="Standard 3" xfId="51" xr:uid="{00000000-0005-0000-0000-000032000000}"/>
    <cellStyle name="Überschrift 1 2" xfId="43" xr:uid="{00000000-0005-0000-0000-000033000000}"/>
    <cellStyle name="Überschrift 2 2" xfId="44" xr:uid="{00000000-0005-0000-0000-000034000000}"/>
    <cellStyle name="Überschrift 3 2" xfId="45" xr:uid="{00000000-0005-0000-0000-000035000000}"/>
    <cellStyle name="Überschrift 4 2" xfId="46" xr:uid="{00000000-0005-0000-0000-000036000000}"/>
    <cellStyle name="Überschrift 5" xfId="42" xr:uid="{00000000-0005-0000-0000-000037000000}"/>
    <cellStyle name="Verknüpfte Zelle 2" xfId="47" xr:uid="{00000000-0005-0000-0000-000038000000}"/>
    <cellStyle name="Währung 2" xfId="50" xr:uid="{00000000-0005-0000-0000-000039000000}"/>
    <cellStyle name="Warnender Text 2" xfId="48" xr:uid="{00000000-0005-0000-0000-00003A000000}"/>
    <cellStyle name="Zelle überprüfen 2" xfId="49" xr:uid="{00000000-0005-0000-0000-00003B000000}"/>
  </cellStyles>
  <dxfs count="708">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47"/>
        </patternFill>
      </fill>
    </dxf>
    <dxf>
      <fill>
        <patternFill>
          <bgColor indexed="22"/>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ndense val="0"/>
        <extend val="0"/>
        <color indexed="8"/>
      </font>
      <border>
        <left style="thin">
          <color indexed="64"/>
        </left>
        <right style="thin">
          <color indexed="64"/>
        </right>
        <top/>
        <bottom style="thin">
          <color indexed="64"/>
        </bottom>
      </border>
    </dxf>
    <dxf>
      <font>
        <condense val="0"/>
        <extend val="0"/>
        <color indexed="8"/>
      </font>
      <border>
        <left style="thin">
          <color indexed="64"/>
        </left>
        <right style="thin">
          <color indexed="64"/>
        </right>
        <top style="thin">
          <color indexed="64"/>
        </top>
        <bottom/>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7"/>
        </patternFill>
      </fill>
    </dxf>
    <dxf>
      <fill>
        <patternFill>
          <bgColor indexed="44"/>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font>
        <condense val="0"/>
        <extend val="0"/>
        <color indexed="9"/>
      </font>
      <fill>
        <patternFill patternType="none">
          <bgColor indexed="65"/>
        </patternFill>
      </fill>
      <border>
        <left/>
        <right/>
        <top/>
        <bottom/>
      </border>
    </dxf>
    <dxf>
      <fill>
        <patternFill>
          <bgColor indexed="22"/>
        </patternFill>
      </fill>
    </dxf>
    <dxf>
      <fill>
        <patternFill>
          <bgColor indexed="44"/>
        </patternFill>
      </fill>
    </dxf>
    <dxf>
      <fill>
        <patternFill>
          <bgColor indexed="47"/>
        </patternFill>
      </fill>
    </dxf>
    <dxf>
      <font>
        <b val="0"/>
        <i/>
        <condense val="0"/>
        <extend val="0"/>
      </font>
    </dxf>
    <dxf>
      <font>
        <b/>
        <i val="0"/>
        <condense val="0"/>
        <extend val="0"/>
      </font>
    </dxf>
    <dxf>
      <font>
        <b/>
        <i val="0"/>
        <condense val="0"/>
        <extend val="0"/>
      </font>
      <fill>
        <patternFill>
          <bgColor indexed="22"/>
        </patternFill>
      </fill>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4"/>
        </patternFill>
      </fill>
    </dxf>
    <dxf>
      <fill>
        <patternFill>
          <bgColor indexed="47"/>
        </patternFill>
      </fill>
    </dxf>
    <dxf>
      <font>
        <condense val="0"/>
        <extend val="0"/>
        <color indexed="55"/>
      </font>
    </dxf>
    <dxf>
      <font>
        <condense val="0"/>
        <extend val="0"/>
        <color indexed="8"/>
      </font>
      <border>
        <left style="thin">
          <color indexed="64"/>
        </left>
        <right style="thin">
          <color indexed="64"/>
        </right>
        <top/>
        <bottom style="thin">
          <color indexed="64"/>
        </bottom>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lor rgb="FFFF0000"/>
      </font>
    </dxf>
    <dxf>
      <font>
        <condense val="0"/>
        <extend val="0"/>
        <color indexed="9"/>
      </font>
      <fill>
        <patternFill patternType="none">
          <bgColor indexed="65"/>
        </patternFill>
      </fill>
      <border>
        <left/>
        <right/>
        <top/>
        <bottom/>
      </border>
    </dxf>
    <dxf>
      <fill>
        <patternFill>
          <bgColor indexed="22"/>
        </patternFill>
      </fill>
    </dxf>
    <dxf>
      <font>
        <b val="0"/>
        <i/>
        <condense val="0"/>
        <extend val="0"/>
      </font>
    </dxf>
    <dxf>
      <font>
        <b/>
        <i val="0"/>
        <condense val="0"/>
        <extend val="0"/>
      </font>
      <fill>
        <patternFill>
          <bgColor indexed="22"/>
        </patternFill>
      </fill>
    </dxf>
    <dxf>
      <font>
        <b/>
        <i val="0"/>
        <condense val="0"/>
        <extend val="0"/>
      </font>
    </dxf>
    <dxf>
      <font>
        <condense val="0"/>
        <extend val="0"/>
        <color indexed="9"/>
      </font>
      <fill>
        <patternFill patternType="none">
          <bgColor indexed="65"/>
        </patternFill>
      </fill>
      <border>
        <left/>
        <right/>
        <top/>
        <bottom/>
      </border>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44"/>
        </patternFill>
      </fill>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ont>
        <color rgb="FFFF0000"/>
      </font>
    </dxf>
    <dxf>
      <border>
        <left/>
        <right/>
        <top/>
        <bottom/>
      </border>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55"/>
      </font>
    </dxf>
    <dxf>
      <fill>
        <patternFill>
          <bgColor indexed="22"/>
        </patternFill>
      </fill>
    </dxf>
    <dxf>
      <fill>
        <patternFill>
          <bgColor indexed="44"/>
        </patternFill>
      </fill>
    </dxf>
    <dxf>
      <fill>
        <patternFill>
          <bgColor indexed="47"/>
        </patternFill>
      </fill>
    </dxf>
    <dxf>
      <font>
        <condense val="0"/>
        <extend val="0"/>
        <color indexed="55"/>
      </font>
    </dxf>
    <dxf>
      <border>
        <left style="thin">
          <color indexed="64"/>
        </left>
      </border>
    </dxf>
    <dxf>
      <fill>
        <patternFill patternType="none">
          <bgColor indexed="65"/>
        </patternFill>
      </fill>
    </dxf>
    <dxf>
      <fill>
        <patternFill patternType="none">
          <bgColor indexed="65"/>
        </patternFill>
      </fill>
    </dxf>
    <dxf>
      <border>
        <left/>
        <right/>
      </border>
    </dxf>
    <dxf>
      <font>
        <condense val="0"/>
        <extend val="0"/>
        <color indexed="9"/>
      </font>
      <fill>
        <patternFill patternType="none">
          <bgColor indexed="65"/>
        </patternFill>
      </fill>
      <border>
        <left/>
        <right/>
        <top/>
        <bottom/>
      </border>
    </dxf>
    <dxf>
      <fill>
        <patternFill patternType="none">
          <bgColor indexed="65"/>
        </patternFill>
      </fill>
      <border>
        <left/>
        <right/>
        <top/>
        <bottom/>
      </border>
    </dxf>
    <dxf>
      <font>
        <condense val="0"/>
        <extend val="0"/>
        <color indexed="8"/>
      </font>
      <border>
        <left style="thin">
          <color indexed="64"/>
        </left>
        <right style="thin">
          <color indexed="64"/>
        </right>
        <top style="thin">
          <color indexed="64"/>
        </top>
        <bottom style="thin">
          <color indexed="64"/>
        </bottom>
      </border>
    </dxf>
    <dxf>
      <fill>
        <patternFill>
          <bgColor indexed="22"/>
        </patternFill>
      </fill>
    </dxf>
    <dxf>
      <font>
        <condense val="0"/>
        <extend val="0"/>
        <color indexed="8"/>
      </font>
      <border>
        <left style="thin">
          <color indexed="64"/>
        </left>
        <right style="thin">
          <color indexed="64"/>
        </right>
        <top/>
        <bottom style="thin">
          <color indexed="64"/>
        </bottom>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lor theme="0"/>
      </font>
      <fill>
        <patternFill patternType="none">
          <bgColor auto="1"/>
        </patternFill>
      </fill>
      <border>
        <left/>
        <right/>
        <top style="thin">
          <color auto="1"/>
        </top>
        <bottom style="hair">
          <color auto="1"/>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auto="1"/>
      </font>
    </dxf>
    <dxf>
      <font>
        <color auto="1"/>
      </font>
    </dxf>
    <dxf>
      <font>
        <color auto="1"/>
      </font>
    </dxf>
    <dxf>
      <font>
        <condense val="0"/>
        <extend val="0"/>
        <color indexed="9"/>
      </font>
      <fill>
        <patternFill patternType="none">
          <bgColor indexed="65"/>
        </patternFill>
      </fill>
      <border>
        <left/>
        <right/>
        <top/>
        <bottom/>
      </border>
    </dxf>
    <dxf>
      <font>
        <color auto="1"/>
      </font>
    </dxf>
    <dxf>
      <font>
        <condense val="0"/>
        <extend val="0"/>
        <color indexed="9"/>
      </font>
      <fill>
        <patternFill patternType="none">
          <bgColor indexed="65"/>
        </patternFill>
      </fill>
      <border>
        <left/>
        <right/>
        <top/>
        <bottom/>
      </border>
    </dxf>
    <dxf>
      <font>
        <color auto="1"/>
      </font>
    </dxf>
    <dxf>
      <font>
        <condense val="0"/>
        <extend val="0"/>
        <color indexed="8"/>
      </font>
      <fill>
        <patternFill>
          <bgColor indexed="47"/>
        </patternFill>
      </fill>
      <border>
        <left style="thin">
          <color indexed="64"/>
        </left>
        <right style="thin">
          <color indexed="64"/>
        </right>
        <top style="thin">
          <color indexed="64"/>
        </top>
        <bottom style="thin">
          <color indexed="64"/>
        </bottom>
      </border>
    </dxf>
    <dxf>
      <fill>
        <patternFill>
          <bgColor indexed="44"/>
        </patternFill>
      </fill>
    </dxf>
    <dxf>
      <fill>
        <patternFill>
          <bgColor indexed="22"/>
        </patternFill>
      </fill>
    </dxf>
    <dxf>
      <font>
        <condense val="0"/>
        <extend val="0"/>
        <color indexed="9"/>
      </font>
      <fill>
        <patternFill patternType="none">
          <bgColor indexed="65"/>
        </patternFill>
      </fill>
      <border>
        <left/>
        <right/>
        <top/>
        <bottom/>
      </border>
    </dxf>
    <dxf>
      <font>
        <color rgb="FFFF0000"/>
      </font>
    </dxf>
    <dxf>
      <font>
        <condense val="0"/>
        <extend val="0"/>
        <color indexed="9"/>
      </font>
      <fill>
        <patternFill patternType="none">
          <bgColor indexed="65"/>
        </patternFill>
      </fill>
      <border>
        <left/>
        <right/>
        <top/>
        <bottom/>
      </border>
    </dxf>
    <dxf>
      <font>
        <b/>
        <i val="0"/>
        <condense val="0"/>
        <extend val="0"/>
      </font>
    </dxf>
    <dxf>
      <font>
        <b/>
        <i val="0"/>
        <condense val="0"/>
        <extend val="0"/>
      </font>
      <fill>
        <patternFill>
          <bgColor indexed="22"/>
        </patternFill>
      </fill>
    </dxf>
    <dxf>
      <font>
        <b val="0"/>
        <i/>
        <condense val="0"/>
        <extend val="0"/>
      </font>
    </dxf>
    <dxf>
      <fill>
        <patternFill patternType="none">
          <bgColor indexed="65"/>
        </patternFill>
      </fill>
      <border>
        <left/>
        <right/>
        <top/>
      </border>
    </dxf>
    <dxf>
      <fill>
        <patternFill patternType="none">
          <bgColor indexed="65"/>
        </patternFill>
      </fill>
      <border>
        <left/>
        <right/>
        <bottom/>
      </border>
    </dxf>
    <dxf>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font>
        <color rgb="FFFF000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0000"/>
      </font>
    </dxf>
    <dxf>
      <border>
        <left/>
        <right/>
        <top/>
        <bottom/>
      </border>
    </dxf>
    <dxf>
      <font>
        <condense val="0"/>
        <extend val="0"/>
        <color indexed="9"/>
      </font>
      <fill>
        <patternFill>
          <bgColor indexed="9"/>
        </patternFill>
      </fill>
    </dxf>
    <dxf>
      <font>
        <condense val="0"/>
        <extend val="0"/>
        <color indexed="9"/>
      </font>
      <fill>
        <patternFill>
          <bgColor indexed="21"/>
        </patternFill>
      </fill>
    </dxf>
    <dxf>
      <font>
        <b/>
        <i val="0"/>
        <condense val="0"/>
        <extend val="0"/>
      </font>
    </dxf>
    <dxf>
      <font>
        <b/>
        <i val="0"/>
        <condense val="0"/>
        <extend val="0"/>
      </font>
      <fill>
        <patternFill>
          <bgColor indexed="22"/>
        </patternFill>
      </fill>
    </dxf>
    <dxf>
      <font>
        <condense val="0"/>
        <extend val="0"/>
        <color indexed="9"/>
      </font>
    </dxf>
    <dxf>
      <font>
        <condense val="0"/>
        <extend val="0"/>
        <color indexed="9"/>
      </font>
      <fill>
        <patternFill patternType="none">
          <bgColor indexed="65"/>
        </patternFill>
      </fill>
      <border>
        <left/>
        <right/>
        <top/>
        <bottom/>
      </border>
    </dxf>
    <dxf>
      <font>
        <color rgb="FFFFFFFF"/>
      </font>
      <fill>
        <patternFill>
          <fgColor theme="0"/>
          <bgColor theme="0"/>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FFFF99"/>
      <color rgb="FFFFFF00"/>
      <color rgb="FFFFFFFF"/>
      <color rgb="FFC0C0C0"/>
      <color rgb="FF99CCFF"/>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9526</xdr:rowOff>
        </xdr:from>
        <xdr:to>
          <xdr:col>128</xdr:col>
          <xdr:colOff>361950</xdr:colOff>
          <xdr:row>162</xdr:row>
          <xdr:rowOff>48523</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a:extLst>
                <a:ext uri="{84589F7E-364E-4C9E-8A38-B11213B215E9}">
                  <a14:cameraTool cellRange="Kontrolldaten!$A$1:$E$75" spid="_x0000_s67659"/>
                </a:ext>
              </a:extLst>
            </xdr:cNvPicPr>
          </xdr:nvPicPr>
          <xdr:blipFill>
            <a:blip xmlns:r="http://schemas.openxmlformats.org/officeDocument/2006/relationships" r:embed="rId1"/>
            <a:srcRect/>
            <a:stretch>
              <a:fillRect/>
            </a:stretch>
          </xdr:blipFill>
          <xdr:spPr bwMode="auto">
            <a:xfrm>
              <a:off x="8077200" y="26508076"/>
              <a:ext cx="6062663" cy="422237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31433</xdr:rowOff>
        </xdr:to>
        <xdr:pic>
          <xdr:nvPicPr>
            <xdr:cNvPr id="3" name="Grafik 2">
              <a:extLst>
                <a:ext uri="{FF2B5EF4-FFF2-40B4-BE49-F238E27FC236}">
                  <a16:creationId xmlns:a16="http://schemas.microsoft.com/office/drawing/2014/main" id="{00000000-0008-0000-0B00-000003000000}"/>
                </a:ext>
              </a:extLst>
            </xdr:cNvPr>
            <xdr:cNvPicPr>
              <a:picLocks noChangeAspect="1" noChangeArrowheads="1"/>
              <a:extLst>
                <a:ext uri="{84589F7E-364E-4C9E-8A38-B11213B215E9}">
                  <a14:cameraTool cellRange="Kontrolldaten!$A$1:$E$75" spid="_x0000_s41888"/>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42318</xdr:rowOff>
        </xdr:to>
        <xdr:pic>
          <xdr:nvPicPr>
            <xdr:cNvPr id="4" name="Grafik 3">
              <a:extLst>
                <a:ext uri="{FF2B5EF4-FFF2-40B4-BE49-F238E27FC236}">
                  <a16:creationId xmlns:a16="http://schemas.microsoft.com/office/drawing/2014/main" id="{00000000-0008-0000-0C00-000004000000}"/>
                </a:ext>
              </a:extLst>
            </xdr:cNvPr>
            <xdr:cNvPicPr>
              <a:picLocks noChangeAspect="1" noChangeArrowheads="1"/>
              <a:extLst>
                <a:ext uri="{84589F7E-364E-4C9E-8A38-B11213B215E9}">
                  <a14:cameraTool cellRange="Kontrolldaten!$A$1:$E$75" spid="_x0000_s42914"/>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42318</xdr:rowOff>
        </xdr:to>
        <xdr:pic>
          <xdr:nvPicPr>
            <xdr:cNvPr id="4" name="Grafik 3">
              <a:extLst>
                <a:ext uri="{FF2B5EF4-FFF2-40B4-BE49-F238E27FC236}">
                  <a16:creationId xmlns:a16="http://schemas.microsoft.com/office/drawing/2014/main" id="{00000000-0008-0000-0D00-000004000000}"/>
                </a:ext>
              </a:extLst>
            </xdr:cNvPr>
            <xdr:cNvPicPr>
              <a:picLocks noChangeAspect="1" noChangeArrowheads="1"/>
              <a:extLst>
                <a:ext uri="{84589F7E-364E-4C9E-8A38-B11213B215E9}">
                  <a14:cameraTool cellRange="Kontrolldaten!$A$1:$E$75" spid="_x0000_s43961"/>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29</xdr:col>
      <xdr:colOff>0</xdr:colOff>
      <xdr:row>194</xdr:row>
      <xdr:rowOff>17318</xdr:rowOff>
    </xdr:from>
    <xdr:to>
      <xdr:col>29</xdr:col>
      <xdr:colOff>0</xdr:colOff>
      <xdr:row>195</xdr:row>
      <xdr:rowOff>4330</xdr:rowOff>
    </xdr:to>
    <xdr:sp macro="" textlink="$M$1">
      <xdr:nvSpPr>
        <xdr:cNvPr id="17417" name="Text Box 9">
          <a:extLst>
            <a:ext uri="{FF2B5EF4-FFF2-40B4-BE49-F238E27FC236}">
              <a16:creationId xmlns:a16="http://schemas.microsoft.com/office/drawing/2014/main" id="{00000000-0008-0000-1300-000009440000}"/>
            </a:ext>
          </a:extLst>
        </xdr:cNvPr>
        <xdr:cNvSpPr txBox="1">
          <a:spLocks noChangeArrowheads="1" noTextEdit="1"/>
        </xdr:cNvSpPr>
      </xdr:nvSpPr>
      <xdr:spPr bwMode="auto">
        <a:xfrm>
          <a:off x="7905750" y="19050"/>
          <a:ext cx="1419225" cy="180975"/>
        </a:xfrm>
        <a:prstGeom prst="rect">
          <a:avLst/>
        </a:prstGeom>
        <a:solidFill>
          <a:srgbClr val="FFFFFF"/>
        </a:solidFill>
        <a:ln w="9525">
          <a:noFill/>
          <a:miter lim="800000"/>
          <a:headEnd/>
          <a:tailEnd/>
        </a:ln>
      </xdr:spPr>
      <xdr:txBody>
        <a:bodyPr vertOverflow="clip" wrap="square" lIns="0" tIns="22860" rIns="27432" bIns="0" anchor="t" upright="1"/>
        <a:lstStyle/>
        <a:p>
          <a:fld id="{38E36949-15AE-4808-8D7D-28C887732F9A}" type="TxLink">
            <a:rPr lang="de-CH" sz="1000" b="0" i="0" u="none" strike="noStrike">
              <a:solidFill>
                <a:srgbClr val="000000"/>
              </a:solidFill>
              <a:latin typeface="Arial"/>
              <a:cs typeface="Arial"/>
            </a:rPr>
            <a:pPr/>
            <a:t> </a:t>
          </a:fld>
          <a:endParaRPr lang="de-CH"/>
        </a:p>
      </xdr:txBody>
    </xdr:sp>
    <xdr:clientData/>
  </xdr:twoCellAnchor>
  <xdr:twoCellAnchor>
    <xdr:from>
      <xdr:col>29</xdr:col>
      <xdr:colOff>0</xdr:colOff>
      <xdr:row>195</xdr:row>
      <xdr:rowOff>23380</xdr:rowOff>
    </xdr:from>
    <xdr:to>
      <xdr:col>29</xdr:col>
      <xdr:colOff>0</xdr:colOff>
      <xdr:row>196</xdr:row>
      <xdr:rowOff>10391</xdr:rowOff>
    </xdr:to>
    <xdr:sp macro="" textlink="$M$1">
      <xdr:nvSpPr>
        <xdr:cNvPr id="2" name="Text Box 9">
          <a:extLst>
            <a:ext uri="{FF2B5EF4-FFF2-40B4-BE49-F238E27FC236}">
              <a16:creationId xmlns:a16="http://schemas.microsoft.com/office/drawing/2014/main" id="{00000000-0008-0000-1300-000002000000}"/>
            </a:ext>
          </a:extLst>
        </xdr:cNvPr>
        <xdr:cNvSpPr txBox="1">
          <a:spLocks noChangeArrowheads="1" noTextEdit="1"/>
        </xdr:cNvSpPr>
      </xdr:nvSpPr>
      <xdr:spPr bwMode="auto">
        <a:xfrm>
          <a:off x="7905750" y="19050"/>
          <a:ext cx="1419225" cy="180975"/>
        </a:xfrm>
        <a:prstGeom prst="rect">
          <a:avLst/>
        </a:prstGeom>
        <a:solidFill>
          <a:srgbClr val="FFFFFF"/>
        </a:solidFill>
        <a:ln w="9525">
          <a:noFill/>
          <a:miter lim="800000"/>
          <a:headEnd/>
          <a:tailEnd/>
        </a:ln>
      </xdr:spPr>
      <xdr:txBody>
        <a:bodyPr vertOverflow="clip" wrap="square" lIns="0" tIns="22860" rIns="27432" bIns="0" anchor="t" upright="1"/>
        <a:lstStyle/>
        <a:p>
          <a:fld id="{84E0ED97-0E08-40EE-BA7A-80FFA472930E}" type="TxLink">
            <a:rPr lang="de-CH" sz="1000" b="0" i="0" u="none" strike="noStrike">
              <a:solidFill>
                <a:srgbClr val="000000"/>
              </a:solidFill>
              <a:latin typeface="Arial"/>
              <a:cs typeface="Arial"/>
            </a:rPr>
            <a:pPr/>
            <a:t> </a:t>
          </a:fld>
          <a:endParaRPr lang="de-CH"/>
        </a:p>
      </xdr:txBody>
    </xdr:sp>
    <xdr:clientData/>
  </xdr:twoCellAnchor>
  <xdr:twoCellAnchor>
    <xdr:from>
      <xdr:col>55</xdr:col>
      <xdr:colOff>0</xdr:colOff>
      <xdr:row>195</xdr:row>
      <xdr:rowOff>23380</xdr:rowOff>
    </xdr:from>
    <xdr:to>
      <xdr:col>55</xdr:col>
      <xdr:colOff>2721</xdr:colOff>
      <xdr:row>196</xdr:row>
      <xdr:rowOff>10391</xdr:rowOff>
    </xdr:to>
    <xdr:sp macro="" textlink="$M$1">
      <xdr:nvSpPr>
        <xdr:cNvPr id="3" name="Text Box 9">
          <a:extLst>
            <a:ext uri="{FF2B5EF4-FFF2-40B4-BE49-F238E27FC236}">
              <a16:creationId xmlns:a16="http://schemas.microsoft.com/office/drawing/2014/main" id="{00000000-0008-0000-1300-000003000000}"/>
            </a:ext>
          </a:extLst>
        </xdr:cNvPr>
        <xdr:cNvSpPr txBox="1">
          <a:spLocks noChangeArrowheads="1" noTextEdit="1"/>
        </xdr:cNvSpPr>
      </xdr:nvSpPr>
      <xdr:spPr bwMode="auto">
        <a:xfrm>
          <a:off x="7905750" y="19050"/>
          <a:ext cx="1419225" cy="180975"/>
        </a:xfrm>
        <a:prstGeom prst="rect">
          <a:avLst/>
        </a:prstGeom>
        <a:solidFill>
          <a:srgbClr val="FFFFFF"/>
        </a:solidFill>
        <a:ln w="9525">
          <a:noFill/>
          <a:miter lim="800000"/>
          <a:headEnd/>
          <a:tailEnd/>
        </a:ln>
      </xdr:spPr>
      <xdr:txBody>
        <a:bodyPr vertOverflow="clip" wrap="square" lIns="0" tIns="22860" rIns="27432" bIns="0" anchor="t" upright="1"/>
        <a:lstStyle/>
        <a:p>
          <a:fld id="{6D40BFA4-C94B-49BE-B2FE-D8D839AC0B49}" type="TxLink">
            <a:rPr lang="de-CH" sz="1000" b="0" i="0" u="none" strike="noStrike">
              <a:solidFill>
                <a:srgbClr val="000000"/>
              </a:solidFill>
              <a:latin typeface="Arial"/>
              <a:cs typeface="Arial"/>
            </a:rPr>
            <a:pPr/>
            <a:t> </a:t>
          </a:fld>
          <a:endParaRPr lang="de-CH"/>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326232</xdr:colOff>
          <xdr:row>162</xdr:row>
          <xdr:rowOff>47080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a:extLst>
                <a:ext uri="{84589F7E-364E-4C9E-8A38-B11213B215E9}">
                  <a14:cameraTool cellRange="Kontrolldaten!$A$1:$E$75" spid="_x0000_s33716"/>
                </a:ext>
              </a:extLst>
            </xdr:cNvPicPr>
          </xdr:nvPicPr>
          <xdr:blipFill>
            <a:blip xmlns:r="http://schemas.openxmlformats.org/officeDocument/2006/relationships" r:embed="rId1"/>
            <a:srcRect/>
            <a:stretch>
              <a:fillRect/>
            </a:stretch>
          </xdr:blipFill>
          <xdr:spPr bwMode="auto">
            <a:xfrm>
              <a:off x="7400925" y="26489025"/>
              <a:ext cx="5705475" cy="4248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361949</xdr:colOff>
          <xdr:row>162</xdr:row>
          <xdr:rowOff>72996</xdr:rowOff>
        </xdr:to>
        <xdr:pic>
          <xdr:nvPicPr>
            <xdr:cNvPr id="3" name="Grafik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Kontrolldaten!$A$1:$E$75" spid="_x0000_s34723"/>
                </a:ext>
              </a:extLst>
            </xdr:cNvPicPr>
          </xdr:nvPicPr>
          <xdr:blipFill>
            <a:blip xmlns:r="http://schemas.openxmlformats.org/officeDocument/2006/relationships" r:embed="rId1"/>
            <a:srcRect/>
            <a:stretch>
              <a:fillRect/>
            </a:stretch>
          </xdr:blipFill>
          <xdr:spPr bwMode="auto">
            <a:xfrm>
              <a:off x="146589750"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361949</xdr:colOff>
          <xdr:row>162</xdr:row>
          <xdr:rowOff>72996</xdr:rowOff>
        </xdr:to>
        <xdr:pic>
          <xdr:nvPicPr>
            <xdr:cNvPr id="4" name="Grafik 3">
              <a:extLst>
                <a:ext uri="{FF2B5EF4-FFF2-40B4-BE49-F238E27FC236}">
                  <a16:creationId xmlns:a16="http://schemas.microsoft.com/office/drawing/2014/main" id="{00000000-0008-0000-0500-000004000000}"/>
                </a:ext>
              </a:extLst>
            </xdr:cNvPr>
            <xdr:cNvPicPr>
              <a:picLocks noChangeAspect="1" noChangeArrowheads="1"/>
              <a:extLst>
                <a:ext uri="{84589F7E-364E-4C9E-8A38-B11213B215E9}">
                  <a14:cameraTool cellRange="Kontrolldaten!$A$1:$E$75" spid="_x0000_s35746"/>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42318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a:extLst>
                <a:ext uri="{84589F7E-364E-4C9E-8A38-B11213B215E9}">
                  <a14:cameraTool cellRange="Kontrolldaten!$A$1:$E$75" spid="_x0000_s36770"/>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42318</xdr:rowOff>
        </xdr:to>
        <xdr:pic>
          <xdr:nvPicPr>
            <xdr:cNvPr id="4" name="Grafik 3">
              <a:extLst>
                <a:ext uri="{FF2B5EF4-FFF2-40B4-BE49-F238E27FC236}">
                  <a16:creationId xmlns:a16="http://schemas.microsoft.com/office/drawing/2014/main" id="{00000000-0008-0000-0700-000004000000}"/>
                </a:ext>
              </a:extLst>
            </xdr:cNvPr>
            <xdr:cNvPicPr>
              <a:picLocks noChangeAspect="1" noChangeArrowheads="1"/>
              <a:extLst>
                <a:ext uri="{84589F7E-364E-4C9E-8A38-B11213B215E9}">
                  <a14:cameraTool cellRange="Kontrolldaten!$A$1:$E$75" spid="_x0000_s37801"/>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42318</xdr:rowOff>
        </xdr:to>
        <xdr:pic>
          <xdr:nvPicPr>
            <xdr:cNvPr id="4" name="Grafik 3">
              <a:extLst>
                <a:ext uri="{FF2B5EF4-FFF2-40B4-BE49-F238E27FC236}">
                  <a16:creationId xmlns:a16="http://schemas.microsoft.com/office/drawing/2014/main" id="{00000000-0008-0000-0800-000004000000}"/>
                </a:ext>
              </a:extLst>
            </xdr:cNvPr>
            <xdr:cNvPicPr>
              <a:picLocks noChangeAspect="1" noChangeArrowheads="1"/>
              <a:extLst>
                <a:ext uri="{84589F7E-364E-4C9E-8A38-B11213B215E9}">
                  <a14:cameraTool cellRange="Kontrolldaten!$A$1:$E$75" spid="_x0000_s38819"/>
                </a:ext>
              </a:extLst>
            </xdr:cNvPicPr>
          </xdr:nvPicPr>
          <xdr:blipFill>
            <a:blip xmlns:r="http://schemas.openxmlformats.org/officeDocument/2006/relationships" r:embed="rId1"/>
            <a:srcRect/>
            <a:stretch>
              <a:fillRect/>
            </a:stretch>
          </xdr:blipFill>
          <xdr:spPr bwMode="auto">
            <a:xfrm>
              <a:off x="7400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361949</xdr:colOff>
          <xdr:row>162</xdr:row>
          <xdr:rowOff>72996</xdr:rowOff>
        </xdr:to>
        <xdr:pic>
          <xdr:nvPicPr>
            <xdr:cNvPr id="4" name="Grafik 3">
              <a:extLst>
                <a:ext uri="{FF2B5EF4-FFF2-40B4-BE49-F238E27FC236}">
                  <a16:creationId xmlns:a16="http://schemas.microsoft.com/office/drawing/2014/main" id="{00000000-0008-0000-0900-000004000000}"/>
                </a:ext>
              </a:extLst>
            </xdr:cNvPr>
            <xdr:cNvPicPr>
              <a:picLocks noChangeAspect="1" noChangeArrowheads="1"/>
              <a:extLst>
                <a:ext uri="{84589F7E-364E-4C9E-8A38-B11213B215E9}">
                  <a14:cameraTool cellRange="Kontrolldaten!$A$1:$E$75" spid="_x0000_s39841"/>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121</xdr:col>
          <xdr:colOff>0</xdr:colOff>
          <xdr:row>147</xdr:row>
          <xdr:rowOff>0</xdr:rowOff>
        </xdr:from>
        <xdr:to>
          <xdr:col>128</xdr:col>
          <xdr:colOff>361950</xdr:colOff>
          <xdr:row>162</xdr:row>
          <xdr:rowOff>42318</xdr:rowOff>
        </xdr:to>
        <xdr:pic>
          <xdr:nvPicPr>
            <xdr:cNvPr id="4" name="Grafik 3">
              <a:extLst>
                <a:ext uri="{FF2B5EF4-FFF2-40B4-BE49-F238E27FC236}">
                  <a16:creationId xmlns:a16="http://schemas.microsoft.com/office/drawing/2014/main" id="{00000000-0008-0000-0A00-000004000000}"/>
                </a:ext>
              </a:extLst>
            </xdr:cNvPr>
            <xdr:cNvPicPr>
              <a:picLocks noChangeAspect="1" noChangeArrowheads="1"/>
              <a:extLst>
                <a:ext uri="{84589F7E-364E-4C9E-8A38-B11213B215E9}">
                  <a14:cameraTool cellRange="Kontrolldaten!$A$1:$E$75" spid="_x0000_s40866"/>
                </a:ext>
              </a:extLst>
            </xdr:cNvPicPr>
          </xdr:nvPicPr>
          <xdr:blipFill>
            <a:blip xmlns:r="http://schemas.openxmlformats.org/officeDocument/2006/relationships" r:embed="rId1"/>
            <a:srcRect/>
            <a:stretch>
              <a:fillRect/>
            </a:stretch>
          </xdr:blipFill>
          <xdr:spPr bwMode="auto">
            <a:xfrm>
              <a:off x="8162925" y="26489025"/>
              <a:ext cx="5695950" cy="4238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hv-iv.ch/de/Merkbl&#228;tter-Formulare/Merkbl&#228;tter/Beitr&#228;ge-AHV-IV-EO-ALV" TargetMode="External"/><Relationship Id="rId1" Type="http://schemas.openxmlformats.org/officeDocument/2006/relationships/hyperlink" Target="https://www.ahv-iv.ch/fr/M&#233;mentos-Formulaires/M&#233;mentos/Cotisations-AVS-AI-APG-AC"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hv-iv.ch/p/6.02.f" TargetMode="External"/><Relationship Id="rId1" Type="http://schemas.openxmlformats.org/officeDocument/2006/relationships/hyperlink" Target="https://www.ahv-iv.ch/p/6.02.d" TargetMode="External"/><Relationship Id="rId4"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outlinePr showOutlineSymbols="0"/>
    <pageSetUpPr autoPageBreaks="0"/>
  </sheetPr>
  <dimension ref="A1:M34"/>
  <sheetViews>
    <sheetView showGridLines="0" showZeros="0" showOutlineSymbols="0" topLeftCell="A17" zoomScaleNormal="100" workbookViewId="0">
      <selection activeCell="A22" sqref="A22"/>
    </sheetView>
  </sheetViews>
  <sheetFormatPr baseColWidth="10" defaultColWidth="11.33203125" defaultRowHeight="13.2" x14ac:dyDescent="0.25"/>
  <cols>
    <col min="1" max="1" width="16.6640625" style="55" customWidth="1"/>
    <col min="2" max="2" width="25.6640625" style="55" customWidth="1"/>
    <col min="3" max="3" width="125.6640625" style="55" customWidth="1"/>
    <col min="4" max="16384" width="11.33203125" style="55"/>
  </cols>
  <sheetData>
    <row r="1" spans="1:13" ht="23.25" customHeight="1" x14ac:dyDescent="0.25">
      <c r="A1" s="392" t="str">
        <f ca="1">INDIRECT(ADDRESS(ROW()+N_Offset_Intro,COLUMN()+(N_SpracheAuswahl)*26,,,"Text"))</f>
        <v>Lohnabrechnungsmodell LAM</v>
      </c>
      <c r="C1" s="59"/>
      <c r="M1" s="56"/>
    </row>
    <row r="2" spans="1:13" ht="27" customHeight="1" x14ac:dyDescent="0.25">
      <c r="A2" s="854" t="str">
        <f ca="1">INDIRECT(ADDRESS(ROW()+N_Offset_Intro,COLUMN()+(N_SpracheAuswahl)*26,,,"Text"))</f>
        <v>Dieses Lohnabrechnungsmodell (LAM) dient als Hilfsmittel für die Erfassung der Arbeitsleistung und die Erstellung der Lohnabrechnung für eine angestellte Assistenzperson während eines Kalenderjahres. Alle notwendigen Informationen für das Erstellen des Lohnausweises und die Abrechnung mit den Sozialversicherungen werden in einer Jahresübersicht zusammengestellt.</v>
      </c>
      <c r="B2" s="854">
        <f t="shared" ref="B2:C4" ca="1" si="0">INDIRECT(ADDRESS(ROW()+N_Offset_Intro,COLUMN()+(N_SpracheAuswahl)*26,,,"Text"))</f>
        <v>0</v>
      </c>
      <c r="C2" s="854">
        <f t="shared" ca="1" si="0"/>
        <v>0</v>
      </c>
    </row>
    <row r="3" spans="1:13" ht="15.75" customHeight="1" x14ac:dyDescent="0.25">
      <c r="A3" s="855" t="str">
        <f ca="1">INDIRECT(ADDRESS(ROW()+N_Offset_Intro,COLUMN()+(N_SpracheAuswahl)*26,,,"Text"))</f>
        <v xml:space="preserve">Monatlich werden die Daten errechnet, die für die Rechnungsstellung für den Assistenzbeitrag an die IV oder kantonale Stellen benötigt werden. </v>
      </c>
      <c r="B3" s="855">
        <f t="shared" ca="1" si="0"/>
        <v>0</v>
      </c>
      <c r="C3" s="855">
        <f t="shared" ca="1" si="0"/>
        <v>0</v>
      </c>
    </row>
    <row r="4" spans="1:13" ht="27.6" customHeight="1" x14ac:dyDescent="0.25">
      <c r="A4" s="855" t="str">
        <f ca="1">INDIRECT(ADDRESS(ROW()+N_Offset_Intro,COLUMN()+(N_SpracheAuswahl)*26,,,"Text"))</f>
        <v>Die Berechnungen für den Assistenzbeitrag erfolgen mit den Ansätzen per 2023 (Fr. 34.30 für eine Stunde mit Standardqualifikation). Bei Gewährung eines Teuerungsausgleichs wird eine neue Version mit den neuen Ansätzen zur Verfügung gestellt.</v>
      </c>
      <c r="B4" s="855">
        <f t="shared" ca="1" si="0"/>
        <v>0</v>
      </c>
      <c r="C4" s="855">
        <f t="shared" ca="1" si="0"/>
        <v>0</v>
      </c>
      <c r="M4" s="56"/>
    </row>
    <row r="5" spans="1:13" ht="2.25" customHeight="1" x14ac:dyDescent="0.25"/>
    <row r="6" spans="1:13" ht="15.75" customHeight="1" x14ac:dyDescent="0.25">
      <c r="A6" s="857" t="str">
        <f ca="1">INDIRECT(ADDRESS(ROW()+N_Offset_Intro,COLUMN()+(N_SpracheAuswahl)*26,,,"Text"))</f>
        <v>Das Programm wird kostenlos zur Verfügung gestellt. Wir können deshalb keinen Support leisten.</v>
      </c>
      <c r="B6" s="857">
        <f ca="1">INDIRECT(ADDRESS(ROW()+N_Offset_Intro,COLUMN()+(N_SpracheAuswahl)*26,,,"Text"))</f>
        <v>0</v>
      </c>
      <c r="C6" s="857">
        <f ca="1">INDIRECT(ADDRESS(ROW()+N_Offset_Intro,COLUMN()+(N_SpracheAuswahl)*26,,,"Text"))</f>
        <v>0</v>
      </c>
    </row>
    <row r="7" spans="1:13" x14ac:dyDescent="0.25">
      <c r="A7" s="393" t="s">
        <v>1139</v>
      </c>
      <c r="B7" s="84" t="str">
        <f ca="1">INDIRECT(ADDRESS(ROW()+N_Offset_Intro,COLUMN()+(N_SpracheAuswahl)*26,,,"Text"))</f>
        <v xml:space="preserve">      Die Lohnabrechnung ist zweisprachig; wählen Sie Ihre Sprache in Zelle A7 aus. </v>
      </c>
      <c r="C7" s="84"/>
    </row>
    <row r="8" spans="1:13" ht="4.6500000000000004" customHeight="1" x14ac:dyDescent="0.25"/>
    <row r="9" spans="1:13" ht="15.75" customHeight="1" x14ac:dyDescent="0.25">
      <c r="A9" s="858" t="str">
        <f t="shared" ref="A9:C11" ca="1" si="1">INDIRECT(ADDRESS(ROW()+N_Offset_Intro,COLUMN()+(N_SpracheAuswahl)*26,,,"Text"))</f>
        <v>Die Tabellenblätter sind so ausgelegt, dass sie auch mit einem Vorleseprogramm bedient werden können.</v>
      </c>
      <c r="B9" s="858">
        <f t="shared" ca="1" si="1"/>
        <v>0</v>
      </c>
      <c r="C9" s="858">
        <f t="shared" ca="1" si="1"/>
        <v>0</v>
      </c>
    </row>
    <row r="10" spans="1:13" ht="27" customHeight="1" x14ac:dyDescent="0.25">
      <c r="A10" s="855" t="str">
        <f t="shared" ca="1" si="1"/>
        <v>Zeilen 1-10 der übrigen Tabellenblätter enthalten Benutzerhilfen für die Bedienung ohne Vorleseprogramm und sind fixiert. Für die Bedienung mit Vorleseprogramm werden diese Zeilen nicht benötigt.</v>
      </c>
      <c r="B10" s="855">
        <f t="shared" ca="1" si="1"/>
        <v>0</v>
      </c>
      <c r="C10" s="855">
        <f t="shared" ca="1" si="1"/>
        <v>0</v>
      </c>
      <c r="F10" s="783"/>
    </row>
    <row r="11" spans="1:13" ht="27" customHeight="1" x14ac:dyDescent="0.25">
      <c r="A11" s="856" t="str">
        <f t="shared" ca="1" si="1"/>
        <v>Hinweis: wenn Sie dieses Formular nicht ab Jahresbeginn bzw. ab Anstellung benutzen, können Sie den Saldo der Sollarbeitszeit in Zeile 301 ("Korrektur Saldo Arbeitsstunden") und das Ferienguthaben in Zeile 313 (Korrektur Ferienguthaben) des ersten verwendeten Monatsblattes korrigieren.</v>
      </c>
      <c r="B11" s="856">
        <f t="shared" ca="1" si="1"/>
        <v>0</v>
      </c>
      <c r="C11" s="856">
        <f t="shared" ca="1" si="1"/>
        <v>0</v>
      </c>
    </row>
    <row r="12" spans="1:13" ht="5.0999999999999996" customHeight="1" x14ac:dyDescent="0.25"/>
    <row r="13" spans="1:13" ht="15.75" customHeight="1" x14ac:dyDescent="0.25">
      <c r="A13" s="394" t="str">
        <f t="shared" ref="A13:A20" ca="1" si="2">INDIRECT(ADDRESS(ROW()+N_Offset_Intro,COLUMN()+(N_SpracheAuswahl)*26,,,"Text"))</f>
        <v>Aufbau des LAM's</v>
      </c>
      <c r="B13" s="98"/>
      <c r="C13" s="98"/>
    </row>
    <row r="14" spans="1:13" ht="17.399999999999999" customHeight="1" x14ac:dyDescent="0.25">
      <c r="A14" s="396" t="str">
        <f t="shared" ca="1" si="2"/>
        <v>Tabellenblatt</v>
      </c>
      <c r="B14" s="526" t="str">
        <f t="shared" ref="B14:C20" ca="1" si="3">INDIRECT(ADDRESS(ROW()+N_Offset_Intro,COLUMN()+(N_SpracheAuswahl)*26,,,"Text"))</f>
        <v>Registerbezeichnung</v>
      </c>
      <c r="C14" s="396" t="str">
        <f t="shared" ca="1" si="3"/>
        <v>Beschreibung</v>
      </c>
    </row>
    <row r="15" spans="1:13" ht="15.75" customHeight="1" x14ac:dyDescent="0.25">
      <c r="A15" s="397" t="str">
        <f t="shared" ca="1" si="2"/>
        <v>Titelblatt</v>
      </c>
      <c r="B15" s="398" t="str">
        <f t="shared" ca="1" si="3"/>
        <v>Intro</v>
      </c>
      <c r="C15" s="399" t="str">
        <f t="shared" ca="1" si="3"/>
        <v>Beschreibung des Lohnabrechnungsmodells und Kurzanleitung für die Bedienung</v>
      </c>
    </row>
    <row r="16" spans="1:13" ht="27" customHeight="1" x14ac:dyDescent="0.25">
      <c r="A16" s="397" t="str">
        <f t="shared" ca="1" si="2"/>
        <v>Basisdaten</v>
      </c>
      <c r="B16" s="398" t="str">
        <f t="shared" ca="1" si="3"/>
        <v>B</v>
      </c>
      <c r="C16" s="400" t="str">
        <f t="shared" ca="1" si="3"/>
        <v>Eingabe aller notwendigen Daten zur versicherten Person, zur angestellten Assistenzperson, zu den Abmachungen im Arbeitsvertrag und zu den Versicherungen</v>
      </c>
    </row>
    <row r="17" spans="1:3" ht="27" customHeight="1" x14ac:dyDescent="0.25">
      <c r="A17" s="397" t="str">
        <f t="shared" ca="1" si="2"/>
        <v>Monatsblatt</v>
      </c>
      <c r="B17" s="398" t="str">
        <f t="shared" ca="1" si="3"/>
        <v>01 bis 12</v>
      </c>
      <c r="C17" s="399" t="str">
        <f t="shared" ca="1" si="3"/>
        <v>Ein Tabellenblatt für Monat Januar bis Dezember. Eingabe der monatlich ändernden Angaben, Ausdruck der monatlichen Lohnabrechnung sowie Daten für den Übertrag ins Abrechnungssystem (ASTeK) oder in die Rechnungsformulare</v>
      </c>
    </row>
    <row r="18" spans="1:3" ht="15.75" customHeight="1" x14ac:dyDescent="0.25">
      <c r="A18" s="397" t="str">
        <f t="shared" ca="1" si="2"/>
        <v>Lohnausweis</v>
      </c>
      <c r="B18" s="398" t="str">
        <f t="shared" ca="1" si="3"/>
        <v>L</v>
      </c>
      <c r="C18" s="399" t="str">
        <f t="shared" ca="1" si="3"/>
        <v>Jahreszusammenstellung der Daten für den Lohnausweis</v>
      </c>
    </row>
    <row r="19" spans="1:3" ht="15.75" customHeight="1" x14ac:dyDescent="0.25">
      <c r="A19" s="397" t="str">
        <f t="shared" ca="1" si="2"/>
        <v>Import</v>
      </c>
      <c r="B19" s="398" t="str">
        <f t="shared" ca="1" si="3"/>
        <v>I</v>
      </c>
      <c r="C19" s="399" t="str">
        <f t="shared" ca="1" si="3"/>
        <v>Leeres Blatt, in welches die Daten aus dem alten LAM einkopiert werden können</v>
      </c>
    </row>
    <row r="20" spans="1:3" ht="27" customHeight="1" x14ac:dyDescent="0.25">
      <c r="A20" s="397" t="str">
        <f t="shared" ca="1" si="2"/>
        <v>Export</v>
      </c>
      <c r="B20" s="398" t="str">
        <f t="shared" ca="1" si="3"/>
        <v>E</v>
      </c>
      <c r="C20" s="399" t="str">
        <f t="shared" ca="1" si="3"/>
        <v>Zusammenstellung aller Daten, die in das neue Lohnabrechnungsmodell übernommen werden müssen. Kann in Blatt I des neuen Formulars kopiert werden</v>
      </c>
    </row>
    <row r="22" spans="1:3" ht="15.75" customHeight="1" x14ac:dyDescent="0.25">
      <c r="A22" s="394" t="str">
        <f ca="1">INDIRECT(ADDRESS(ROW()+N_Offset_Intro,COLUMN()+(N_SpracheAuswahl)*26,,,"Text"))</f>
        <v>Kurzanleitung LAM</v>
      </c>
      <c r="B22" s="98"/>
      <c r="C22" s="98"/>
    </row>
    <row r="23" spans="1:3" ht="25.5" customHeight="1" x14ac:dyDescent="0.25">
      <c r="A23" s="397" t="str">
        <f ca="1">INDIRECT(ADDRESS(ROW()+N_Offset_Intro,COLUMN()+(N_SpracheAuswahl)*26,,,"Text"))</f>
        <v>1. Schritt</v>
      </c>
      <c r="B23" s="406" t="str">
        <f t="shared" ref="B23:C26" ca="1" si="4">INDIRECT(ADDRESS(ROW()+N_Offset_Intro,COLUMN()+(N_SpracheAuswahl)*26,,,"Text"))</f>
        <v>Zum Blatt Import</v>
      </c>
      <c r="C23" s="400" t="str">
        <f t="shared" ca="1" si="4"/>
        <v>Wenn die Assistenzperson bereits im Vorjahr bei Ihnen angestellt war, müssen Sie bei Eröffnung des LAMs gewisse Werte aus dem Vorjahr übernehmen. Kopieren Sie dazu das Tabellenblatt Export des Vorjahres in das Blatt Import des neuen Jahres.</v>
      </c>
    </row>
    <row r="24" spans="1:3" ht="15.6" customHeight="1" x14ac:dyDescent="0.25">
      <c r="A24" s="397" t="str">
        <f ca="1">INDIRECT(ADDRESS(ROW()+N_Offset_Intro,COLUMN()+(N_SpracheAuswahl)*26,,,"Text"))</f>
        <v>2. Schritt</v>
      </c>
      <c r="B24" s="585" t="str">
        <f t="shared" ca="1" si="4"/>
        <v>Zu den Basisdaten</v>
      </c>
      <c r="C24" s="400" t="str">
        <f t="shared" ca="1" si="4"/>
        <v>Erfassen Sie die Angaben im Blatt Basisdaten (oder überprüfen und passen Sie sie bei Bedarf an, wenn Sie Daten aus dem Vorjahr importiert haben)</v>
      </c>
    </row>
    <row r="25" spans="1:3" ht="15.75" customHeight="1" x14ac:dyDescent="0.25">
      <c r="A25" s="397" t="str">
        <f ca="1">INDIRECT(ADDRESS(ROW()+N_Offset_Intro,COLUMN()+(N_SpracheAuswahl)*26,,,"Text"))</f>
        <v>3. Schritt</v>
      </c>
      <c r="B25" s="406" t="str">
        <f t="shared" ca="1" si="4"/>
        <v>Zum Blatt 01 (Januar)</v>
      </c>
      <c r="C25" s="399" t="str">
        <f t="shared" ca="1" si="4"/>
        <v>Erfassen Sie die monatlichen Angaben und drucken Sie den Einsatzrapport und die Lohnabrechnung aus</v>
      </c>
    </row>
    <row r="26" spans="1:3" ht="15.75" customHeight="1" x14ac:dyDescent="0.25">
      <c r="A26" s="397" t="str">
        <f ca="1">INDIRECT(ADDRESS(ROW()+N_Offset_Intro,COLUMN()+(N_SpracheAuswahl)*26,,,"Text"))</f>
        <v>4. Schritt</v>
      </c>
      <c r="B26" s="406" t="str">
        <f t="shared" ca="1" si="4"/>
        <v>Zum Lohnausweis</v>
      </c>
      <c r="C26" s="399" t="str">
        <f t="shared" ca="1" si="4"/>
        <v>Nach dem Jahresabschluss, drucken Sie die Daten für den Lohnausweis aus</v>
      </c>
    </row>
    <row r="28" spans="1:3" ht="15.75" customHeight="1" x14ac:dyDescent="0.25">
      <c r="A28" s="401" t="str">
        <f t="shared" ref="A28:B32" ca="1" si="5">INDIRECT(ADDRESS(ROW()+N_Offset_Intro,COLUMN()+(N_SpracheAuswahl)*26,,,"Text"))</f>
        <v>hellgrüne Felder</v>
      </c>
      <c r="B28" s="402" t="str">
        <f t="shared" ca="1" si="5"/>
        <v>hier müssen Daten eingegeben werden</v>
      </c>
    </row>
    <row r="29" spans="1:3" ht="15.75" customHeight="1" x14ac:dyDescent="0.25">
      <c r="A29" s="403" t="str">
        <f t="shared" ca="1" si="5"/>
        <v>hellgelbe Felder</v>
      </c>
      <c r="B29" s="402" t="str">
        <f t="shared" ca="1" si="5"/>
        <v>hier müssen Daten aus einer Liste ausgewählt werden</v>
      </c>
    </row>
    <row r="30" spans="1:3" ht="15.75" customHeight="1" x14ac:dyDescent="0.25">
      <c r="A30" s="404" t="str">
        <f t="shared" ca="1" si="5"/>
        <v>übrige Felder</v>
      </c>
      <c r="B30" s="402" t="str">
        <f t="shared" ca="1" si="5"/>
        <v>sind gesperrt</v>
      </c>
    </row>
    <row r="31" spans="1:3" ht="15.75" customHeight="1" x14ac:dyDescent="0.25">
      <c r="A31" s="407" t="str">
        <f t="shared" ca="1" si="5"/>
        <v>blaue Schrift</v>
      </c>
      <c r="B31" s="395" t="str">
        <f t="shared" ca="1" si="5"/>
        <v>Hyperlinks führen Sie beim Anklicken weiter</v>
      </c>
    </row>
    <row r="32" spans="1:3" ht="15.75" customHeight="1" x14ac:dyDescent="0.25">
      <c r="A32" s="405" t="str">
        <f t="shared" ca="1" si="5"/>
        <v>kursive Schrift</v>
      </c>
      <c r="B32" s="405" t="str">
        <f t="shared" ca="1" si="5"/>
        <v>Erläuterungen und Hinweise</v>
      </c>
    </row>
    <row r="34" spans="1:3" x14ac:dyDescent="0.2">
      <c r="A34" s="55" t="str">
        <f ca="1">INDIRECT(ADDRESS(ROW()+N_Offset_Intro,COLUMN()+(N_SpracheAuswahl)*26,,,"Text"))</f>
        <v>Jede Haftung wird abgelehnt.</v>
      </c>
      <c r="C34" s="586"/>
    </row>
  </sheetData>
  <sheetProtection algorithmName="SHA-512" hashValue="v7lOUgse+7mjjMzpN6k+F1Oe4MGfw4L/82NtrzDer2oEH9cVlRapb32QiTjOKqO/0b7oRLSLV7bXUP3qPxK3Ig==" saltValue="YUwXHUU0I5poCu9ZoDMsBQ==" spinCount="100000" sheet="1" objects="1" scenarios="1"/>
  <mergeCells count="7">
    <mergeCell ref="A2:C2"/>
    <mergeCell ref="A3:C3"/>
    <mergeCell ref="A4:C4"/>
    <mergeCell ref="A11:C11"/>
    <mergeCell ref="A6:C6"/>
    <mergeCell ref="A9:C9"/>
    <mergeCell ref="A10:C10"/>
  </mergeCells>
  <phoneticPr fontId="0" type="noConversion"/>
  <dataValidations count="1">
    <dataValidation type="list" allowBlank="1" showInputMessage="1" showErrorMessage="1" sqref="A7" xr:uid="{00000000-0002-0000-0000-000000000000}">
      <formula1>L_Sprache</formula1>
    </dataValidation>
  </dataValidations>
  <hyperlinks>
    <hyperlink ref="B23" location="'  I  '!A1" display="Zum Blatt Import" xr:uid="{00000000-0004-0000-0000-000000000000}"/>
    <hyperlink ref="B25" location="' 01 '!A1" display="Zum Blatt 01 (Januar)" xr:uid="{00000000-0004-0000-0000-000001000000}"/>
    <hyperlink ref="B26" location="'  L  '!A1" display="Zum Lohnausweis" xr:uid="{00000000-0004-0000-0000-000002000000}"/>
    <hyperlink ref="B24" location="'  B  '!A1" display="Zu den Basisdaten" xr:uid="{00000000-0004-0000-0000-000003000000}"/>
  </hyperlinks>
  <printOptions horizontalCentered="1"/>
  <pageMargins left="0.78740157480314965" right="0.78740157480314965" top="0.98425196850393704" bottom="0.78740157480314965" header="0.70866141732283472" footer="0.51181102362204722"/>
  <pageSetup paperSize="9" scale="74" orientation="landscape" r:id="rId1"/>
  <headerFooter alignWithMargins="0">
    <oddFooter>&amp;L&amp;8 LAM © Assistenzbüro ABü 2022 - V2.10&amp;R&amp;8&amp;P/&amp;N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outlinePr showOutlineSymbols="0"/>
  </sheetPr>
  <dimension ref="A1:DP470"/>
  <sheetViews>
    <sheetView showGridLines="0" showZeros="0" showOutlineSymbols="0" topLeftCell="A17"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August</v>
      </c>
      <c r="H1" s="450" t="str">
        <f ca="1">INDIRECT(ADDRESS(ROW()+N_Offset_M,COLUMN()+(N_SpracheAuswahl)*26,,,"Text"))</f>
        <v>zurück zum Intro</v>
      </c>
      <c r="I1" s="449"/>
      <c r="O1" s="56" t="s">
        <v>97</v>
      </c>
      <c r="P1" s="309">
        <f>DATE('  B  '!C13,8,1)</f>
        <v>45505</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45505</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August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45505</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August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83"/>
      <c r="H216" s="984"/>
      <c r="I216" s="98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45505</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07 '!AK295</f>
        <v>0</v>
      </c>
      <c r="AL263" s="137"/>
      <c r="AN263" s="137">
        <f>IF(N_Kündigungsfrist_Beginn=AH264,0,1)</f>
        <v>1</v>
      </c>
      <c r="AO263" s="55"/>
      <c r="AP263" s="233">
        <f ca="1">' 07 '!AP295</f>
        <v>0</v>
      </c>
      <c r="AR263" s="234">
        <f ca="1">' 07 '!AR295</f>
        <v>0</v>
      </c>
      <c r="AT263" s="355">
        <f ca="1">' 07 '!AT295+N318</f>
        <v>28</v>
      </c>
      <c r="AV263" s="246">
        <f ca="1">' 07 '!AV295</f>
        <v>0</v>
      </c>
      <c r="AW263" s="245"/>
      <c r="AY263" s="239"/>
      <c r="BA263" s="222"/>
      <c r="BB263" s="249">
        <f ca="1">' 07 '!BB295</f>
        <v>0</v>
      </c>
      <c r="BC263" s="245"/>
      <c r="BE263" s="252">
        <f ca="1">' 07 '!BE295</f>
        <v>0</v>
      </c>
      <c r="BG263" s="252">
        <f ca="1">' 07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45505</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45505</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92</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184</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45506</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45506</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92</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184</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45507</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45507</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92</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184</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45508</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45508</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92</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184</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45509</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45509</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92</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184</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45510</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45510</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92</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184</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45511</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45511</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92</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184</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45512</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45512</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92</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184</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45513</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45513</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92</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184</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45514</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45514</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92</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184</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45515</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45515</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92</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184</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45516</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45516</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92</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184</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45517</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45517</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92</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184</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45518</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45518</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92</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184</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45519</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45519</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92</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184</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45520</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45520</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92</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184</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45521</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45521</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92</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184</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45522</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45522</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92</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184</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45523</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45523</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92</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184</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45524</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45524</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92</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184</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45525</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45525</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92</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184</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45526</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45526</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92</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184</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45527</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45527</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92</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184</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45528</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45528</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92</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184</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45529</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45529</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92</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184</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45530</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45530</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92</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184</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45531</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45531</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92</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184</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45532</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45532</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92</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184</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45533</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45533</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92</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184</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45534</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45534</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92</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184</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45535</v>
      </c>
      <c r="B294" s="154"/>
      <c r="C294" s="154"/>
      <c r="D294" s="154"/>
      <c r="E294" s="875" t="str">
        <f t="shared" ca="1" si="57"/>
        <v/>
      </c>
      <c r="F294" s="876"/>
      <c r="G294" s="667">
        <f t="shared" ca="1" si="114"/>
        <v>0</v>
      </c>
      <c r="H294" s="667">
        <f t="shared" ca="1" si="58"/>
        <v>0</v>
      </c>
      <c r="I294" s="667">
        <f t="shared" ca="1" si="59"/>
        <v>0</v>
      </c>
      <c r="P294" s="151">
        <f t="shared" si="60"/>
        <v>125</v>
      </c>
      <c r="R294" s="55">
        <f t="shared" si="61"/>
        <v>0</v>
      </c>
      <c r="S294" s="55">
        <f t="shared" si="62"/>
        <v>1</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45535</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92</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184</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07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45505</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45505</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PC5zFLTnU/bpCdzhWb7KSgkfGCkpwyir2ZRLJI1JldEDDfZluZ2ekvC4DbOZzXUtSgtCLlApghJyJcVTiLxrCw==" saltValue="WrB7/r+cUUptjUQDjU52Uw==" spinCount="100000" sheet="1" objects="1" scenarios="1"/>
  <mergeCells count="311">
    <mergeCell ref="A243:J243"/>
    <mergeCell ref="A240:D240"/>
    <mergeCell ref="A241:D241"/>
    <mergeCell ref="A155:D155"/>
    <mergeCell ref="A129:G129"/>
    <mergeCell ref="A130:G130"/>
    <mergeCell ref="A131:G131"/>
    <mergeCell ref="A141:G141"/>
    <mergeCell ref="A142:G142"/>
    <mergeCell ref="A143:G143"/>
    <mergeCell ref="A144:G144"/>
    <mergeCell ref="A132:G132"/>
    <mergeCell ref="A133:G133"/>
    <mergeCell ref="A134:G134"/>
    <mergeCell ref="A135:G135"/>
    <mergeCell ref="A136:G136"/>
    <mergeCell ref="A137:G137"/>
    <mergeCell ref="A138:G138"/>
    <mergeCell ref="A139:G139"/>
    <mergeCell ref="A140:G140"/>
    <mergeCell ref="A152:D152"/>
    <mergeCell ref="A151:D151"/>
    <mergeCell ref="G240:H240"/>
    <mergeCell ref="G226:I226"/>
    <mergeCell ref="A114:G114"/>
    <mergeCell ref="A115:G115"/>
    <mergeCell ref="A116:G116"/>
    <mergeCell ref="A117:G117"/>
    <mergeCell ref="A118:G118"/>
    <mergeCell ref="A119:G119"/>
    <mergeCell ref="A120:G120"/>
    <mergeCell ref="E241:F241"/>
    <mergeCell ref="A121:G121"/>
    <mergeCell ref="A122:G122"/>
    <mergeCell ref="A123:G123"/>
    <mergeCell ref="A124:G124"/>
    <mergeCell ref="A125:G125"/>
    <mergeCell ref="A126:G126"/>
    <mergeCell ref="A127:G127"/>
    <mergeCell ref="A128:G128"/>
    <mergeCell ref="A154:D154"/>
    <mergeCell ref="G236:I236"/>
    <mergeCell ref="G238:I238"/>
    <mergeCell ref="E221:F221"/>
    <mergeCell ref="A219:D219"/>
    <mergeCell ref="F173:I173"/>
    <mergeCell ref="A176:E176"/>
    <mergeCell ref="A177:E177"/>
    <mergeCell ref="A105:G105"/>
    <mergeCell ref="A106:G106"/>
    <mergeCell ref="A107:G107"/>
    <mergeCell ref="A108:G108"/>
    <mergeCell ref="A109:G109"/>
    <mergeCell ref="A110:G110"/>
    <mergeCell ref="A111:G111"/>
    <mergeCell ref="A112:G112"/>
    <mergeCell ref="A113:G113"/>
    <mergeCell ref="G328:I328"/>
    <mergeCell ref="G302:I302"/>
    <mergeCell ref="E275:F275"/>
    <mergeCell ref="G316:I316"/>
    <mergeCell ref="A80:G80"/>
    <mergeCell ref="A81:G81"/>
    <mergeCell ref="A82:G82"/>
    <mergeCell ref="A83:G83"/>
    <mergeCell ref="A84:G84"/>
    <mergeCell ref="A85:G85"/>
    <mergeCell ref="A86:G86"/>
    <mergeCell ref="A87:G87"/>
    <mergeCell ref="A88:G88"/>
    <mergeCell ref="A89:G89"/>
    <mergeCell ref="A90:G90"/>
    <mergeCell ref="A91:G91"/>
    <mergeCell ref="A92:G92"/>
    <mergeCell ref="A93:G93"/>
    <mergeCell ref="A94:G94"/>
    <mergeCell ref="A95:G95"/>
    <mergeCell ref="A96:G96"/>
    <mergeCell ref="A97:G97"/>
    <mergeCell ref="A98:G98"/>
    <mergeCell ref="A99:G99"/>
    <mergeCell ref="E290:F290"/>
    <mergeCell ref="E291:F291"/>
    <mergeCell ref="E292:F292"/>
    <mergeCell ref="G317:I317"/>
    <mergeCell ref="A253:D253"/>
    <mergeCell ref="B261:I261"/>
    <mergeCell ref="G324:I324"/>
    <mergeCell ref="G329:I329"/>
    <mergeCell ref="G325:I325"/>
    <mergeCell ref="G327:I327"/>
    <mergeCell ref="E264:F264"/>
    <mergeCell ref="A311:I311"/>
    <mergeCell ref="A329:C329"/>
    <mergeCell ref="A325:C325"/>
    <mergeCell ref="A328:C328"/>
    <mergeCell ref="A327:C327"/>
    <mergeCell ref="A316:C316"/>
    <mergeCell ref="A317:C317"/>
    <mergeCell ref="A318:C318"/>
    <mergeCell ref="A321:C321"/>
    <mergeCell ref="G322:I322"/>
    <mergeCell ref="A322:C322"/>
    <mergeCell ref="A323:C323"/>
    <mergeCell ref="A324:C324"/>
    <mergeCell ref="E278:F278"/>
    <mergeCell ref="E279:F279"/>
    <mergeCell ref="E280:F280"/>
    <mergeCell ref="E281:F281"/>
    <mergeCell ref="A331:I331"/>
    <mergeCell ref="E276:F276"/>
    <mergeCell ref="E265:F265"/>
    <mergeCell ref="E266:F266"/>
    <mergeCell ref="E267:F267"/>
    <mergeCell ref="E268:F268"/>
    <mergeCell ref="E269:F269"/>
    <mergeCell ref="E270:F270"/>
    <mergeCell ref="G318:I318"/>
    <mergeCell ref="G321:I321"/>
    <mergeCell ref="G319:I319"/>
    <mergeCell ref="G320:I320"/>
    <mergeCell ref="G326:I326"/>
    <mergeCell ref="A303:E303"/>
    <mergeCell ref="A304:E304"/>
    <mergeCell ref="G301:I301"/>
    <mergeCell ref="E282:F282"/>
    <mergeCell ref="E271:F271"/>
    <mergeCell ref="E272:F272"/>
    <mergeCell ref="E289:F289"/>
    <mergeCell ref="A232:D232"/>
    <mergeCell ref="A234:D234"/>
    <mergeCell ref="A235:D235"/>
    <mergeCell ref="A230:D230"/>
    <mergeCell ref="A231:D231"/>
    <mergeCell ref="A237:D237"/>
    <mergeCell ref="A236:D236"/>
    <mergeCell ref="A238:D238"/>
    <mergeCell ref="E231:F231"/>
    <mergeCell ref="A307:E307"/>
    <mergeCell ref="G306:I306"/>
    <mergeCell ref="G307:I307"/>
    <mergeCell ref="A319:C319"/>
    <mergeCell ref="A320:C320"/>
    <mergeCell ref="G305:I305"/>
    <mergeCell ref="A242:D242"/>
    <mergeCell ref="H260:I260"/>
    <mergeCell ref="A252:D252"/>
    <mergeCell ref="E273:F273"/>
    <mergeCell ref="E274:F274"/>
    <mergeCell ref="E262:F262"/>
    <mergeCell ref="A246:D246"/>
    <mergeCell ref="A247:D247"/>
    <mergeCell ref="A248:D248"/>
    <mergeCell ref="A249:D249"/>
    <mergeCell ref="A250:D250"/>
    <mergeCell ref="A251:D251"/>
    <mergeCell ref="G303:I303"/>
    <mergeCell ref="G304:I304"/>
    <mergeCell ref="A302:E302"/>
    <mergeCell ref="E293:F293"/>
    <mergeCell ref="E294:F294"/>
    <mergeCell ref="E277:F277"/>
    <mergeCell ref="G228:I228"/>
    <mergeCell ref="G220:H220"/>
    <mergeCell ref="G230:H230"/>
    <mergeCell ref="G237:I237"/>
    <mergeCell ref="A239:D239"/>
    <mergeCell ref="A229:D229"/>
    <mergeCell ref="G323:I323"/>
    <mergeCell ref="A326:C326"/>
    <mergeCell ref="A301:E301"/>
    <mergeCell ref="B296:C296"/>
    <mergeCell ref="E283:F283"/>
    <mergeCell ref="E284:F284"/>
    <mergeCell ref="E285:F285"/>
    <mergeCell ref="E286:F286"/>
    <mergeCell ref="E287:F287"/>
    <mergeCell ref="E288:F288"/>
    <mergeCell ref="A305:E305"/>
    <mergeCell ref="A299:E299"/>
    <mergeCell ref="A300:E300"/>
    <mergeCell ref="A314:C314"/>
    <mergeCell ref="A315:C315"/>
    <mergeCell ref="G314:I314"/>
    <mergeCell ref="G315:I315"/>
    <mergeCell ref="A306:E306"/>
    <mergeCell ref="A26:I26"/>
    <mergeCell ref="E28:F28"/>
    <mergeCell ref="E27:F27"/>
    <mergeCell ref="E29:F29"/>
    <mergeCell ref="A25:H25"/>
    <mergeCell ref="F34:H34"/>
    <mergeCell ref="E313:I313"/>
    <mergeCell ref="H310:I310"/>
    <mergeCell ref="A207:D207"/>
    <mergeCell ref="A214:D214"/>
    <mergeCell ref="A210:D210"/>
    <mergeCell ref="A211:D211"/>
    <mergeCell ref="A221:D221"/>
    <mergeCell ref="A228:D228"/>
    <mergeCell ref="A208:D208"/>
    <mergeCell ref="G217:I217"/>
    <mergeCell ref="A227:D227"/>
    <mergeCell ref="G227:I227"/>
    <mergeCell ref="A225:D225"/>
    <mergeCell ref="A226:D226"/>
    <mergeCell ref="A222:D222"/>
    <mergeCell ref="A224:D224"/>
    <mergeCell ref="A220:D220"/>
    <mergeCell ref="G218:I218"/>
    <mergeCell ref="A31:D31"/>
    <mergeCell ref="A41:D41"/>
    <mergeCell ref="E41:F41"/>
    <mergeCell ref="A39:D39"/>
    <mergeCell ref="A36:D36"/>
    <mergeCell ref="E31:F31"/>
    <mergeCell ref="E30:F30"/>
    <mergeCell ref="A34:D34"/>
    <mergeCell ref="B13:I13"/>
    <mergeCell ref="B14:I14"/>
    <mergeCell ref="B15:I15"/>
    <mergeCell ref="B16:I16"/>
    <mergeCell ref="B17:I17"/>
    <mergeCell ref="B18:I18"/>
    <mergeCell ref="F40:I40"/>
    <mergeCell ref="A32:D32"/>
    <mergeCell ref="A33:D33"/>
    <mergeCell ref="F32:H32"/>
    <mergeCell ref="F33:H33"/>
    <mergeCell ref="A27:D27"/>
    <mergeCell ref="A29:D29"/>
    <mergeCell ref="A30:D30"/>
    <mergeCell ref="H21:I21"/>
    <mergeCell ref="A28:D28"/>
    <mergeCell ref="A64:G64"/>
    <mergeCell ref="A65:G65"/>
    <mergeCell ref="A66:G66"/>
    <mergeCell ref="A67:G67"/>
    <mergeCell ref="A68:G68"/>
    <mergeCell ref="A69:G69"/>
    <mergeCell ref="A70:G70"/>
    <mergeCell ref="A35:D35"/>
    <mergeCell ref="F35:H35"/>
    <mergeCell ref="A43:D43"/>
    <mergeCell ref="E43:H43"/>
    <mergeCell ref="A74:G74"/>
    <mergeCell ref="A75:G75"/>
    <mergeCell ref="A76:G76"/>
    <mergeCell ref="A77:G77"/>
    <mergeCell ref="A78:G78"/>
    <mergeCell ref="A180:E180"/>
    <mergeCell ref="A181:E181"/>
    <mergeCell ref="A79:G79"/>
    <mergeCell ref="A42:E42"/>
    <mergeCell ref="F42:I42"/>
    <mergeCell ref="A174:E174"/>
    <mergeCell ref="A175:E175"/>
    <mergeCell ref="A45:E45"/>
    <mergeCell ref="F44:I44"/>
    <mergeCell ref="F45:I45"/>
    <mergeCell ref="A149:I149"/>
    <mergeCell ref="A148:I148"/>
    <mergeCell ref="H147:I147"/>
    <mergeCell ref="A44:E44"/>
    <mergeCell ref="A100:G100"/>
    <mergeCell ref="A101:G101"/>
    <mergeCell ref="A102:G102"/>
    <mergeCell ref="A103:G103"/>
    <mergeCell ref="A104:G104"/>
    <mergeCell ref="A157:J157"/>
    <mergeCell ref="F184:I184"/>
    <mergeCell ref="A188:E188"/>
    <mergeCell ref="A189:E189"/>
    <mergeCell ref="A158:E158"/>
    <mergeCell ref="A159:E159"/>
    <mergeCell ref="A160:E160"/>
    <mergeCell ref="A161:E161"/>
    <mergeCell ref="A71:G71"/>
    <mergeCell ref="A183:E183"/>
    <mergeCell ref="A164:E164"/>
    <mergeCell ref="A165:E165"/>
    <mergeCell ref="A166:E166"/>
    <mergeCell ref="A169:E169"/>
    <mergeCell ref="A170:E170"/>
    <mergeCell ref="A171:E171"/>
    <mergeCell ref="A172:E172"/>
    <mergeCell ref="A173:E173"/>
    <mergeCell ref="A167:E167"/>
    <mergeCell ref="A162:E162"/>
    <mergeCell ref="A163:E163"/>
    <mergeCell ref="A178:E178"/>
    <mergeCell ref="A72:G72"/>
    <mergeCell ref="A73:G73"/>
    <mergeCell ref="A218:D218"/>
    <mergeCell ref="F162:I162"/>
    <mergeCell ref="A212:J212"/>
    <mergeCell ref="A184:E184"/>
    <mergeCell ref="A202:D202"/>
    <mergeCell ref="A204:D204"/>
    <mergeCell ref="A206:D206"/>
    <mergeCell ref="A205:D205"/>
    <mergeCell ref="A203:D203"/>
    <mergeCell ref="A216:D216"/>
    <mergeCell ref="A217:D217"/>
    <mergeCell ref="G216:I216"/>
    <mergeCell ref="A209:D209"/>
    <mergeCell ref="A185:E185"/>
    <mergeCell ref="A186:E186"/>
    <mergeCell ref="A187:E187"/>
    <mergeCell ref="A215:D215"/>
    <mergeCell ref="A182:E182"/>
  </mergeCells>
  <phoneticPr fontId="0" type="noConversion"/>
  <conditionalFormatting sqref="A145 G145:I145">
    <cfRule type="expression" dxfId="300" priority="62" stopIfTrue="1">
      <formula>$P145="BG"</formula>
    </cfRule>
    <cfRule type="expression" dxfId="299" priority="61" stopIfTrue="1">
      <formula>$P145="B"</formula>
    </cfRule>
  </conditionalFormatting>
  <conditionalFormatting sqref="A264:A294">
    <cfRule type="expression" dxfId="298" priority="71" stopIfTrue="1">
      <formula>WEEKDAY(A264,2)&gt;5</formula>
    </cfRule>
    <cfRule type="expression" dxfId="297" priority="70" stopIfTrue="1">
      <formula>R264=1</formula>
    </cfRule>
  </conditionalFormatting>
  <conditionalFormatting sqref="A216:D216">
    <cfRule type="expression" dxfId="296" priority="52" stopIfTrue="1">
      <formula>$O216&lt;1</formula>
    </cfRule>
  </conditionalFormatting>
  <conditionalFormatting sqref="A217:D217">
    <cfRule type="expression" dxfId="295" priority="51">
      <formula>$S$216=9</formula>
    </cfRule>
  </conditionalFormatting>
  <conditionalFormatting sqref="A217:D225 E213:I220 E222:I230 A234:I240 F154:J154 A155 F155:I155 A202:I211 A212 A213:D215 E221 G221:I221 E231 G231:I232 A241:E241 G241:I241 A242:I242 A244:I258 A315:I329">
    <cfRule type="expression" dxfId="294" priority="57" stopIfTrue="1">
      <formula>$O154&lt;1</formula>
    </cfRule>
  </conditionalFormatting>
  <conditionalFormatting sqref="A226:D232">
    <cfRule type="expression" dxfId="293" priority="4" stopIfTrue="1">
      <formula>$O226&lt;1</formula>
    </cfRule>
  </conditionalFormatting>
  <conditionalFormatting sqref="A227:D227">
    <cfRule type="expression" dxfId="292" priority="3">
      <formula>$S$226=9</formula>
    </cfRule>
  </conditionalFormatting>
  <conditionalFormatting sqref="A236:D236">
    <cfRule type="expression" dxfId="291" priority="44" stopIfTrue="1">
      <formula>$O236&lt;1</formula>
    </cfRule>
  </conditionalFormatting>
  <conditionalFormatting sqref="A237:D237">
    <cfRule type="expression" dxfId="290" priority="43">
      <formula>$S$216=9</formula>
    </cfRule>
  </conditionalFormatting>
  <conditionalFormatting sqref="A237:D242 A243">
    <cfRule type="expression" dxfId="289" priority="45" stopIfTrue="1">
      <formula>$O237&lt;1</formula>
    </cfRule>
  </conditionalFormatting>
  <conditionalFormatting sqref="A190:E191">
    <cfRule type="expression" dxfId="288" priority="319" stopIfTrue="1">
      <formula>$O188&lt;1</formula>
    </cfRule>
  </conditionalFormatting>
  <conditionalFormatting sqref="A192:E193">
    <cfRule type="expression" dxfId="287" priority="429" stopIfTrue="1">
      <formula>$O189&lt;1</formula>
    </cfRule>
  </conditionalFormatting>
  <conditionalFormatting sqref="A194:E198">
    <cfRule type="expression" dxfId="286" priority="53" stopIfTrue="1">
      <formula>$O193&lt;1</formula>
    </cfRule>
  </conditionalFormatting>
  <conditionalFormatting sqref="A28:I30">
    <cfRule type="expression" dxfId="285" priority="79" stopIfTrue="1">
      <formula>NOT(VLOOKUP($I$25,A_JaNein_Auswahl,2)=2)</formula>
    </cfRule>
  </conditionalFormatting>
  <conditionalFormatting sqref="A28:I45">
    <cfRule type="expression" dxfId="284" priority="80" stopIfTrue="1">
      <formula>NOT($Q$24)</formula>
    </cfRule>
  </conditionalFormatting>
  <conditionalFormatting sqref="A34:I34">
    <cfRule type="expression" dxfId="283" priority="85" stopIfTrue="1">
      <formula>NOT($Q$213)</formula>
    </cfRule>
  </conditionalFormatting>
  <conditionalFormatting sqref="A35:I35">
    <cfRule type="expression" dxfId="282" priority="87" stopIfTrue="1">
      <formula>NOT($Q$213)</formula>
    </cfRule>
  </conditionalFormatting>
  <conditionalFormatting sqref="A63:J144">
    <cfRule type="expression" dxfId="281" priority="11" stopIfTrue="1">
      <formula>$P63="BG"</formula>
    </cfRule>
    <cfRule type="expression" dxfId="280" priority="10" stopIfTrue="1">
      <formula>$P63="B"</formula>
    </cfRule>
    <cfRule type="expression" dxfId="279" priority="12" stopIfTrue="1">
      <formula>$P63="K"</formula>
    </cfRule>
  </conditionalFormatting>
  <conditionalFormatting sqref="B264:D294">
    <cfRule type="expression" dxfId="278" priority="205" stopIfTrue="1">
      <formula>AND($AE264&gt;3,$BU264=1)</formula>
    </cfRule>
  </conditionalFormatting>
  <conditionalFormatting sqref="B264:F294">
    <cfRule type="expression" dxfId="277" priority="28" stopIfTrue="1">
      <formula>$AE264=3</formula>
    </cfRule>
    <cfRule type="expression" dxfId="276" priority="30" stopIfTrue="1">
      <formula>OR($AE264=1,$AE264=2,$R264=1)</formula>
    </cfRule>
  </conditionalFormatting>
  <conditionalFormatting sqref="E154:E155">
    <cfRule type="expression" dxfId="275" priority="5" stopIfTrue="1">
      <formula>$O154&lt;1</formula>
    </cfRule>
  </conditionalFormatting>
  <conditionalFormatting sqref="E313">
    <cfRule type="expression" dxfId="274" priority="6">
      <formula>OR(D315="Ja",D315="Oui",D316="Ja",D316="Oui")</formula>
    </cfRule>
  </conditionalFormatting>
  <conditionalFormatting sqref="E264:F294">
    <cfRule type="expression" dxfId="273" priority="29" stopIfTrue="1">
      <formula>OR($AE264&gt;3,$AC264=1)</formula>
    </cfRule>
  </conditionalFormatting>
  <conditionalFormatting sqref="F161">
    <cfRule type="expression" dxfId="272" priority="2" stopIfTrue="1">
      <formula>$O161&lt;1</formula>
    </cfRule>
    <cfRule type="expression" dxfId="271" priority="1">
      <formula>S216=9</formula>
    </cfRule>
  </conditionalFormatting>
  <conditionalFormatting sqref="F161:F162">
    <cfRule type="expression" dxfId="270" priority="25">
      <formula>S216=9</formula>
    </cfRule>
  </conditionalFormatting>
  <conditionalFormatting sqref="F172">
    <cfRule type="expression" dxfId="269" priority="24" stopIfTrue="1">
      <formula>$O172&lt;1</formula>
    </cfRule>
    <cfRule type="expression" dxfId="268" priority="23">
      <formula>S225=9</formula>
    </cfRule>
  </conditionalFormatting>
  <conditionalFormatting sqref="F173">
    <cfRule type="expression" dxfId="267" priority="19" stopIfTrue="1">
      <formula>$O173&lt;1</formula>
    </cfRule>
    <cfRule type="expression" dxfId="266" priority="18">
      <formula>S229=9</formula>
    </cfRule>
  </conditionalFormatting>
  <conditionalFormatting sqref="F183">
    <cfRule type="expression" dxfId="265" priority="21">
      <formula>S236=9</formula>
    </cfRule>
  </conditionalFormatting>
  <conditionalFormatting sqref="F184">
    <cfRule type="expression" dxfId="264" priority="17" stopIfTrue="1">
      <formula>$O184&lt;1</formula>
    </cfRule>
    <cfRule type="expression" dxfId="263" priority="16">
      <formula>S241=9</formula>
    </cfRule>
  </conditionalFormatting>
  <conditionalFormatting sqref="F158:I161 F162 F163:I172 A158:E168 A170:E179 A181:E189 F185:I198">
    <cfRule type="expression" dxfId="262" priority="26" stopIfTrue="1">
      <formula>$O158&lt;1</formula>
    </cfRule>
  </conditionalFormatting>
  <conditionalFormatting sqref="F174:I182">
    <cfRule type="expression" dxfId="261" priority="20" stopIfTrue="1">
      <formula>$O174&lt;1</formula>
    </cfRule>
  </conditionalFormatting>
  <conditionalFormatting sqref="F183:I183 E232:F232">
    <cfRule type="expression" dxfId="260" priority="22" stopIfTrue="1">
      <formula>$O184&lt;1</formula>
    </cfRule>
  </conditionalFormatting>
  <conditionalFormatting sqref="F315:I329">
    <cfRule type="expression" dxfId="259" priority="371" stopIfTrue="1">
      <formula>NOT(VLOOKUP($D315,A_JaNein_Auswahl,2,0)=1)</formula>
    </cfRule>
  </conditionalFormatting>
  <conditionalFormatting sqref="G217:I217">
    <cfRule type="expression" dxfId="258" priority="50">
      <formula>$O217&gt;1</formula>
    </cfRule>
  </conditionalFormatting>
  <conditionalFormatting sqref="G227:I227">
    <cfRule type="expression" dxfId="257" priority="46">
      <formula>$O227&gt;1</formula>
    </cfRule>
  </conditionalFormatting>
  <conditionalFormatting sqref="G237:I237">
    <cfRule type="expression" dxfId="256" priority="42">
      <formula>$O237&gt;1</formula>
    </cfRule>
  </conditionalFormatting>
  <conditionalFormatting sqref="G264:I294">
    <cfRule type="expression" dxfId="255" priority="14" stopIfTrue="1">
      <formula>OR($AE264=1,$AE264=2,$R264=1)</formula>
    </cfRule>
  </conditionalFormatting>
  <conditionalFormatting sqref="G295:I295">
    <cfRule type="expression" dxfId="254" priority="15" stopIfTrue="1">
      <formula>SUM($G$295:$I$295)&gt;0</formula>
    </cfRule>
  </conditionalFormatting>
  <conditionalFormatting sqref="I23:I24 A23:H27 I26:I27">
    <cfRule type="expression" dxfId="253" priority="81" stopIfTrue="1">
      <formula>NOT($Q$24)</formula>
    </cfRule>
  </conditionalFormatting>
  <conditionalFormatting sqref="I25">
    <cfRule type="expression" dxfId="252" priority="88" stopIfTrue="1">
      <formula>NOT($Q$24)</formula>
    </cfRule>
  </conditionalFormatting>
  <conditionalFormatting sqref="I32">
    <cfRule type="expression" dxfId="251" priority="83" stopIfTrue="1">
      <formula>NOT($Q$32)</formula>
    </cfRule>
  </conditionalFormatting>
  <conditionalFormatting sqref="I37">
    <cfRule type="expression" dxfId="250" priority="92" stopIfTrue="1">
      <formula>NOT($O$37=1)</formula>
    </cfRule>
  </conditionalFormatting>
  <conditionalFormatting sqref="I38">
    <cfRule type="expression" dxfId="249" priority="90" stopIfTrue="1">
      <formula>NOT($O$38=1)</formula>
    </cfRule>
  </conditionalFormatting>
  <conditionalFormatting sqref="J262:J295">
    <cfRule type="expression" dxfId="248" priority="78" stopIfTrue="1">
      <formula>SUM($G$295:$I$295)&gt;0</formula>
    </cfRule>
  </conditionalFormatting>
  <conditionalFormatting sqref="U264:AE294 BI264:BS294 CA264:CD294 CF264:CF294 CO264:CY294 DA264:DD294 CE264:CE295">
    <cfRule type="cellIs" dxfId="247" priority="74" stopIfTrue="1" operator="equal">
      <formula>0</formula>
    </cfRule>
  </conditionalFormatting>
  <conditionalFormatting sqref="AF264:AF294">
    <cfRule type="expression" dxfId="246" priority="54" stopIfTrue="1">
      <formula>$AE264=3</formula>
    </cfRule>
    <cfRule type="expression" dxfId="245" priority="56" stopIfTrue="1">
      <formula>$AE264&gt;3</formula>
    </cfRule>
    <cfRule type="expression" dxfId="244" priority="55" stopIfTrue="1">
      <formula>OR($AE264=1,$AE264=2)</formula>
    </cfRule>
  </conditionalFormatting>
  <conditionalFormatting sqref="DJ263:DK294 DI264:DI294 DL264:DM294">
    <cfRule type="cellIs" dxfId="243" priority="27" stopIfTrue="1" operator="equal">
      <formula>0</formula>
    </cfRule>
  </conditionalFormatting>
  <dataValidations count="11">
    <dataValidation type="date" allowBlank="1" showInputMessage="1" showErrorMessage="1" sqref="I232" xr:uid="{00000000-0002-0000-0900-000001000000}">
      <formula1>I231</formula1>
      <formula2>I226</formula2>
    </dataValidation>
    <dataValidation type="whole" allowBlank="1" showInputMessage="1" showErrorMessage="1" sqref="D264:D294" xr:uid="{00000000-0002-0000-0900-000002000000}">
      <formula1>0</formula1>
      <formula2>S264</formula2>
    </dataValidation>
    <dataValidation type="date" operator="greaterThanOrEqual" allowBlank="1" showInputMessage="1" showErrorMessage="1" sqref="I225 I215 I235" xr:uid="{00000000-0002-0000-0900-000003000000}">
      <formula1>I214</formula1>
    </dataValidation>
    <dataValidation type="date" operator="greaterThanOrEqual" allowBlank="1" showInputMessage="1" showErrorMessage="1" sqref="I23" xr:uid="{00000000-0002-0000-0900-000004000000}">
      <formula1>H21</formula1>
    </dataValidation>
    <dataValidation type="list" allowBlank="1" showInputMessage="1" showErrorMessage="1" sqref="AI25:AI26 I25:I26 D315:D329" xr:uid="{00000000-0002-0000-0900-000005000000}">
      <formula1>L_JaNein</formula1>
    </dataValidation>
    <dataValidation type="textLength" allowBlank="1" showInputMessage="1" showErrorMessage="1" sqref="G315:I329" xr:uid="{00000000-0002-0000-0900-000006000000}">
      <formula1>0</formula1>
      <formula2>32</formula2>
    </dataValidation>
    <dataValidation type="list" allowBlank="1" showInputMessage="1" showErrorMessage="1" sqref="G228 G218 G238" xr:uid="{00000000-0002-0000-0900-000007000000}">
      <formula1>L_Rückfall</formula1>
    </dataValidation>
    <dataValidation type="list" allowBlank="1" showInputMessage="1" showErrorMessage="1" sqref="G216 G226 G236" xr:uid="{00000000-0002-0000-0900-000008000000}">
      <formula1>L_Arbeitsunfähigkeit_Grund</formula1>
    </dataValidation>
    <dataValidation type="list" allowBlank="1" showInputMessage="1" showErrorMessage="1" sqref="G227:I227 G217:I217 G237:I237" xr:uid="{00000000-0002-0000-0900-000009000000}">
      <formula1>L_ArtUnfall</formula1>
    </dataValidation>
    <dataValidation type="textLength" allowBlank="1" showInputMessage="1" showErrorMessage="1" sqref="F40:I40 F44:I45 F42:I42" xr:uid="{00000000-0002-0000-0900-00000A000000}">
      <formula1>0</formula1>
      <formula2>40</formula2>
    </dataValidation>
    <dataValidation type="custom" allowBlank="1" showInputMessage="1" showErrorMessage="1" sqref="E264:F294" xr:uid="{00000000-0002-0000-0900-00000B000000}">
      <formula1>NOT(U264=1)</formula1>
    </dataValidation>
  </dataValidations>
  <hyperlinks>
    <hyperlink ref="B13:I13" location="Linkziel_M_Eingaben" display="Monatlliche Abrechnung: Geben Sie hier die Informationen ein, um die Lohnabrechnung für diesen Monat zu erstellen" xr:uid="{00000000-0004-0000-0900-000000000000}"/>
    <hyperlink ref="B18:I18" location="Linkziel_M_Korrekturen" display="Korrekturen: Wenn Sie Korrekturen zu einer früheren Lohnabrechnung machen müssen, können Sie diese hier eingeben" xr:uid="{00000000-0004-0000-0900-000001000000}"/>
    <hyperlink ref="B17:I17" location="Linkziel_M_Einsatzrapport" display="Einsatzrapport: Wenn Sie einen Einsatzrapport führen wollen, können Sie hier die Arbeitszeit pro Tag erfassen" xr:uid="{00000000-0004-0000-09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900-000003000000}"/>
    <hyperlink ref="B15:I15" location="Linkziel_M_ASTeK" display="Verrechnung Assistenzbeitrag: Hier finden Sie die Daten für den Übertrag ins ASTeK (bzw. für das Rechnungsformular Assistenzbeitrag, falls Sie das ASTeK nicht verwenden)" xr:uid="{00000000-0004-0000-0900-000004000000}"/>
    <hyperlink ref="B14:I14" location="Linkziel_M_Lohnabrechnung" display="Lohnabrechnung zum Ausdrucken" xr:uid="{00000000-0004-0000-0900-000005000000}"/>
    <hyperlink ref="A5" location="Linkziel_M_Eingaben" display="Linkziel_M_Eingaben" xr:uid="{00000000-0004-0000-0900-000006000000}"/>
    <hyperlink ref="A6" location="Linkziel_M_Lohnabrechnung" display="Linkziel_M_Lohnabrechnung" xr:uid="{00000000-0004-0000-0900-000007000000}"/>
    <hyperlink ref="A7" location="Linkziel_M_ASTeK" display="Linkziel_M_ASTeK" xr:uid="{00000000-0004-0000-0900-000008000000}"/>
    <hyperlink ref="F5" location="Linkziel_M_Abwesenheiten" display="Linkziel_M_Abwesenheiten" xr:uid="{00000000-0004-0000-0900-000009000000}"/>
    <hyperlink ref="F6" location="Linkziel_M_Einsatzrapport" display="Linkziel_M_Einsatzrapport" xr:uid="{00000000-0004-0000-0900-00000A000000}"/>
    <hyperlink ref="F7" location="Linkziel_M_Korrekturen" display="Linkziel_M_Korrekturen" xr:uid="{00000000-0004-0000-0900-00000B000000}"/>
    <hyperlink ref="A16" location="Linkziel_M_Abwesenheiten" display="Linkziel_M_Abwesenheiten" xr:uid="{00000000-0004-0000-0900-00000C000000}"/>
    <hyperlink ref="A17" location="Linkziel_M_Einsatzrapport" display="Linkziel_M_Einsatzrapport" xr:uid="{00000000-0004-0000-0900-00000D000000}"/>
    <hyperlink ref="A18" location="Linkziel_M_Korrekturen" display="Linkziel_M_Korrekturen" xr:uid="{00000000-0004-0000-0900-00000E000000}"/>
    <hyperlink ref="A13" location="Linkziel_M_Eingaben" display="Linkziel_M_Eingaben" xr:uid="{00000000-0004-0000-0900-00000F000000}"/>
    <hyperlink ref="A14" location="Linkziel_M_Lohnabrechnung" display="Linkziel_M_Lohnabrechnung" xr:uid="{00000000-0004-0000-0900-000010000000}"/>
    <hyperlink ref="A15" location="Linkziel_M_ASTeK" display="Linkziel_M_ASTeK" xr:uid="{00000000-0004-0000-0900-000011000000}"/>
    <hyperlink ref="A25:G25" location="Linkziel_M_Einsatzrapport" display="Linkziel_M_Einsatzrapport" xr:uid="{00000000-0004-0000-0900-000012000000}"/>
    <hyperlink ref="H1:I1" location="Intro!A22" display="zurück zum Intro" xr:uid="{00000000-0004-0000-09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9" man="1"/>
    <brk id="29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outlinePr showOutlineSymbols="0"/>
  </sheetPr>
  <dimension ref="A1:DP470"/>
  <sheetViews>
    <sheetView showGridLines="0" showZeros="0" showOutlineSymbols="0" topLeftCell="A16" zoomScaleNormal="10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September</v>
      </c>
      <c r="H1" s="450" t="str">
        <f ca="1">INDIRECT(ADDRESS(ROW()+N_Offset_M,COLUMN()+(N_SpracheAuswahl)*26,,,"Text"))</f>
        <v>zurück zum Intro</v>
      </c>
      <c r="I1" s="449"/>
      <c r="O1" s="56" t="s">
        <v>97</v>
      </c>
      <c r="P1" s="309">
        <f>DATE('  B  '!C13,9,1)</f>
        <v>45536</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30</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45536</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September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45536</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September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45536</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08 '!AK295</f>
        <v>0</v>
      </c>
      <c r="AL263" s="137"/>
      <c r="AN263" s="137">
        <f>IF(N_Kündigungsfrist_Beginn=AH264,0,1)</f>
        <v>1</v>
      </c>
      <c r="AO263" s="55"/>
      <c r="AP263" s="233">
        <f ca="1">' 08 '!AP295</f>
        <v>0</v>
      </c>
      <c r="AR263" s="234">
        <f ca="1">' 08 '!AR295</f>
        <v>0</v>
      </c>
      <c r="AT263" s="355">
        <f ca="1">' 08 '!AT295+N318</f>
        <v>28</v>
      </c>
      <c r="AV263" s="246">
        <f ca="1">' 08 '!AV295</f>
        <v>0</v>
      </c>
      <c r="AW263" s="245"/>
      <c r="AY263" s="239"/>
      <c r="BA263" s="222"/>
      <c r="BB263" s="249">
        <f ca="1">' 08 '!BB295</f>
        <v>0</v>
      </c>
      <c r="BC263" s="245"/>
      <c r="BE263" s="252">
        <f ca="1">' 08 '!BE295</f>
        <v>0</v>
      </c>
      <c r="BG263" s="252">
        <f ca="1">' 08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45536</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45536</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92</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181</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45537</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45537</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92</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181</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45538</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45538</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92</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181</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45539</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45539</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92</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181</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45540</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45540</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92</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181</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45541</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45541</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92</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181</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45542</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45542</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92</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181</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45543</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45543</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92</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181</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45544</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45544</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92</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181</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45545</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45545</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92</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181</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45546</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45546</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92</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181</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45547</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45547</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92</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181</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45548</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45548</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92</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181</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45549</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45549</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92</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181</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45550</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45550</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92</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181</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45551</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45551</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92</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181</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45552</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45552</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92</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181</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45553</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45553</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92</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181</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45554</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45554</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92</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181</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45555</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45555</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92</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181</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45556</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45556</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92</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181</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45557</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45557</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92</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181</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45558</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45558</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92</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181</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45559</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45559</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92</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181</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45560</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45560</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92</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181</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45561</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45561</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92</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181</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45562</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45562</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92</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181</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45563</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45563</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92</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181</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45564</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45564</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92</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181</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45565</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45565</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92</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181</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45566</v>
      </c>
      <c r="B294" s="154"/>
      <c r="C294" s="154"/>
      <c r="D294" s="154"/>
      <c r="E294" s="875" t="str">
        <f t="shared" ca="1" si="57"/>
        <v/>
      </c>
      <c r="F294" s="876"/>
      <c r="G294" s="667">
        <f t="shared" ca="1" si="114"/>
        <v>0</v>
      </c>
      <c r="H294" s="667">
        <f t="shared" ca="1" si="58"/>
        <v>0</v>
      </c>
      <c r="I294" s="667">
        <f t="shared" ca="1" si="59"/>
        <v>0</v>
      </c>
      <c r="P294" s="151">
        <f t="shared" si="60"/>
        <v>125</v>
      </c>
      <c r="R294" s="55">
        <f t="shared" si="61"/>
        <v>1</v>
      </c>
      <c r="S294" s="55">
        <f t="shared" si="62"/>
        <v>0</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45566</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92</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182</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08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45536</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45536</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foI/MTEp4Snfj/9CaHZ4zCIk9SA3RXW6aXwi4MqherNjoxYC0FkO2LpR1gzKUBMWtSiC7dPOrgcpnN75hcjIxg==" saltValue="8XuWnQDC7nU7tc+Lwmm9GA==" spinCount="100000" sheet="1" objects="1" scenarios="1"/>
  <mergeCells count="311">
    <mergeCell ref="G230:H230"/>
    <mergeCell ref="E221:F221"/>
    <mergeCell ref="A137:G137"/>
    <mergeCell ref="A138:G138"/>
    <mergeCell ref="A139:G139"/>
    <mergeCell ref="A140:G140"/>
    <mergeCell ref="A141:G141"/>
    <mergeCell ref="A142:G142"/>
    <mergeCell ref="A143:G143"/>
    <mergeCell ref="A144:G144"/>
    <mergeCell ref="A216:D216"/>
    <mergeCell ref="A214:D214"/>
    <mergeCell ref="A182:E182"/>
    <mergeCell ref="A183:E183"/>
    <mergeCell ref="A184:E184"/>
    <mergeCell ref="A185:E185"/>
    <mergeCell ref="A177:E177"/>
    <mergeCell ref="A180:E180"/>
    <mergeCell ref="A181:E181"/>
    <mergeCell ref="A186:E186"/>
    <mergeCell ref="A187:E187"/>
    <mergeCell ref="H147:I147"/>
    <mergeCell ref="A163:E163"/>
    <mergeCell ref="A160:E160"/>
    <mergeCell ref="A133:G133"/>
    <mergeCell ref="A134:G134"/>
    <mergeCell ref="A135:G135"/>
    <mergeCell ref="A136:G136"/>
    <mergeCell ref="A114:G114"/>
    <mergeCell ref="A115:G115"/>
    <mergeCell ref="A116:G116"/>
    <mergeCell ref="A117:G117"/>
    <mergeCell ref="A118:G118"/>
    <mergeCell ref="A119:G119"/>
    <mergeCell ref="A120:G120"/>
    <mergeCell ref="A121:G121"/>
    <mergeCell ref="A122:G122"/>
    <mergeCell ref="A123:G123"/>
    <mergeCell ref="A124:G124"/>
    <mergeCell ref="A125:G125"/>
    <mergeCell ref="A126:G126"/>
    <mergeCell ref="A127:G127"/>
    <mergeCell ref="A128:G128"/>
    <mergeCell ref="A129:G129"/>
    <mergeCell ref="A130:G130"/>
    <mergeCell ref="A131:G131"/>
    <mergeCell ref="A100:G100"/>
    <mergeCell ref="A101:G101"/>
    <mergeCell ref="A102:G102"/>
    <mergeCell ref="A103:G103"/>
    <mergeCell ref="A104:G104"/>
    <mergeCell ref="A105:G105"/>
    <mergeCell ref="A106:G106"/>
    <mergeCell ref="A107:G107"/>
    <mergeCell ref="A108:G108"/>
    <mergeCell ref="A91:G91"/>
    <mergeCell ref="A92:G92"/>
    <mergeCell ref="A93:G93"/>
    <mergeCell ref="A94:G94"/>
    <mergeCell ref="A95:G95"/>
    <mergeCell ref="A96:G96"/>
    <mergeCell ref="A97:G97"/>
    <mergeCell ref="A98:G98"/>
    <mergeCell ref="A99:G99"/>
    <mergeCell ref="A82:G82"/>
    <mergeCell ref="A83:G83"/>
    <mergeCell ref="A84:G84"/>
    <mergeCell ref="A85:G85"/>
    <mergeCell ref="A86:G86"/>
    <mergeCell ref="A87:G87"/>
    <mergeCell ref="A88:G88"/>
    <mergeCell ref="A89:G89"/>
    <mergeCell ref="A90:G90"/>
    <mergeCell ref="A73:G73"/>
    <mergeCell ref="A74:G74"/>
    <mergeCell ref="A75:G75"/>
    <mergeCell ref="A76:G76"/>
    <mergeCell ref="A77:G77"/>
    <mergeCell ref="A78:G78"/>
    <mergeCell ref="A79:G79"/>
    <mergeCell ref="A80:G80"/>
    <mergeCell ref="A81:G81"/>
    <mergeCell ref="A64:G64"/>
    <mergeCell ref="A65:G65"/>
    <mergeCell ref="A66:G66"/>
    <mergeCell ref="A67:G67"/>
    <mergeCell ref="A68:G68"/>
    <mergeCell ref="A69:G69"/>
    <mergeCell ref="A70:G70"/>
    <mergeCell ref="A71:G71"/>
    <mergeCell ref="A72:G72"/>
    <mergeCell ref="A331:I331"/>
    <mergeCell ref="E292:F292"/>
    <mergeCell ref="E293:F293"/>
    <mergeCell ref="E294:F294"/>
    <mergeCell ref="B261:I261"/>
    <mergeCell ref="G240:H240"/>
    <mergeCell ref="A158:E158"/>
    <mergeCell ref="A148:I148"/>
    <mergeCell ref="A149:I149"/>
    <mergeCell ref="A252:D252"/>
    <mergeCell ref="A253:D253"/>
    <mergeCell ref="E262:F262"/>
    <mergeCell ref="E271:F271"/>
    <mergeCell ref="A204:D204"/>
    <mergeCell ref="A206:D206"/>
    <mergeCell ref="A205:D205"/>
    <mergeCell ref="G238:I238"/>
    <mergeCell ref="G226:I226"/>
    <mergeCell ref="G236:I236"/>
    <mergeCell ref="G218:I218"/>
    <mergeCell ref="G228:I228"/>
    <mergeCell ref="A220:D220"/>
    <mergeCell ref="A215:D215"/>
    <mergeCell ref="G220:H220"/>
    <mergeCell ref="A161:E161"/>
    <mergeCell ref="A162:E162"/>
    <mergeCell ref="A173:E173"/>
    <mergeCell ref="A174:E174"/>
    <mergeCell ref="A175:E175"/>
    <mergeCell ref="A169:E169"/>
    <mergeCell ref="A170:E170"/>
    <mergeCell ref="A171:E171"/>
    <mergeCell ref="A172:E172"/>
    <mergeCell ref="A154:D154"/>
    <mergeCell ref="A155:D155"/>
    <mergeCell ref="A221:D221"/>
    <mergeCell ref="A218:D218"/>
    <mergeCell ref="A219:D219"/>
    <mergeCell ref="A237:D237"/>
    <mergeCell ref="A236:D236"/>
    <mergeCell ref="A238:D238"/>
    <mergeCell ref="A222:D222"/>
    <mergeCell ref="A224:D224"/>
    <mergeCell ref="A229:D229"/>
    <mergeCell ref="A232:D232"/>
    <mergeCell ref="A234:D234"/>
    <mergeCell ref="A235:D235"/>
    <mergeCell ref="A230:D230"/>
    <mergeCell ref="A231:D231"/>
    <mergeCell ref="A164:E164"/>
    <mergeCell ref="A165:E165"/>
    <mergeCell ref="A166:E166"/>
    <mergeCell ref="A167:E167"/>
    <mergeCell ref="A176:E176"/>
    <mergeCell ref="E231:F231"/>
    <mergeCell ref="F162:I162"/>
    <mergeCell ref="A159:E159"/>
    <mergeCell ref="A109:G109"/>
    <mergeCell ref="A110:G110"/>
    <mergeCell ref="A111:G111"/>
    <mergeCell ref="A112:G112"/>
    <mergeCell ref="A113:G113"/>
    <mergeCell ref="G237:I237"/>
    <mergeCell ref="A217:D217"/>
    <mergeCell ref="G217:I217"/>
    <mergeCell ref="A227:D227"/>
    <mergeCell ref="G227:I227"/>
    <mergeCell ref="A225:D225"/>
    <mergeCell ref="A226:D226"/>
    <mergeCell ref="A228:D228"/>
    <mergeCell ref="A152:D152"/>
    <mergeCell ref="G216:I216"/>
    <mergeCell ref="A207:D207"/>
    <mergeCell ref="A209:D209"/>
    <mergeCell ref="A210:D210"/>
    <mergeCell ref="A211:D211"/>
    <mergeCell ref="A208:D208"/>
    <mergeCell ref="A203:D203"/>
    <mergeCell ref="A202:D202"/>
    <mergeCell ref="A132:G132"/>
    <mergeCell ref="A151:D151"/>
    <mergeCell ref="A43:D43"/>
    <mergeCell ref="E28:F28"/>
    <mergeCell ref="E27:F27"/>
    <mergeCell ref="H21:I21"/>
    <mergeCell ref="A28:D28"/>
    <mergeCell ref="A39:D39"/>
    <mergeCell ref="A36:D36"/>
    <mergeCell ref="A42:E42"/>
    <mergeCell ref="F42:I42"/>
    <mergeCell ref="A34:D34"/>
    <mergeCell ref="F34:H34"/>
    <mergeCell ref="A26:I26"/>
    <mergeCell ref="A29:D29"/>
    <mergeCell ref="A27:D27"/>
    <mergeCell ref="A35:D35"/>
    <mergeCell ref="A44:E44"/>
    <mergeCell ref="A45:E45"/>
    <mergeCell ref="F44:I44"/>
    <mergeCell ref="F45:I45"/>
    <mergeCell ref="A25:H25"/>
    <mergeCell ref="E43:H43"/>
    <mergeCell ref="B13:I13"/>
    <mergeCell ref="B14:I14"/>
    <mergeCell ref="B15:I15"/>
    <mergeCell ref="B16:I16"/>
    <mergeCell ref="B17:I17"/>
    <mergeCell ref="B18:I18"/>
    <mergeCell ref="F40:I40"/>
    <mergeCell ref="A41:D41"/>
    <mergeCell ref="E41:F41"/>
    <mergeCell ref="E31:F31"/>
    <mergeCell ref="E30:F30"/>
    <mergeCell ref="E29:F29"/>
    <mergeCell ref="A30:D30"/>
    <mergeCell ref="A31:D31"/>
    <mergeCell ref="A32:D32"/>
    <mergeCell ref="A33:D33"/>
    <mergeCell ref="F32:H32"/>
    <mergeCell ref="F33:H33"/>
    <mergeCell ref="A303:E303"/>
    <mergeCell ref="E279:F279"/>
    <mergeCell ref="E280:F280"/>
    <mergeCell ref="E275:F275"/>
    <mergeCell ref="E276:F276"/>
    <mergeCell ref="E277:F277"/>
    <mergeCell ref="E278:F278"/>
    <mergeCell ref="E290:F290"/>
    <mergeCell ref="E267:F267"/>
    <mergeCell ref="E268:F268"/>
    <mergeCell ref="E269:F269"/>
    <mergeCell ref="E270:F270"/>
    <mergeCell ref="E287:F287"/>
    <mergeCell ref="E283:F283"/>
    <mergeCell ref="E284:F284"/>
    <mergeCell ref="E288:F288"/>
    <mergeCell ref="E289:F289"/>
    <mergeCell ref="E241:F241"/>
    <mergeCell ref="A239:D239"/>
    <mergeCell ref="E272:F272"/>
    <mergeCell ref="E273:F273"/>
    <mergeCell ref="E274:F274"/>
    <mergeCell ref="E264:F264"/>
    <mergeCell ref="E265:F265"/>
    <mergeCell ref="E266:F266"/>
    <mergeCell ref="A251:D251"/>
    <mergeCell ref="A246:D246"/>
    <mergeCell ref="A247:D247"/>
    <mergeCell ref="A248:D248"/>
    <mergeCell ref="A249:D249"/>
    <mergeCell ref="A250:D250"/>
    <mergeCell ref="A243:J243"/>
    <mergeCell ref="A328:C328"/>
    <mergeCell ref="A326:C326"/>
    <mergeCell ref="A327:C327"/>
    <mergeCell ref="A322:C322"/>
    <mergeCell ref="A323:C323"/>
    <mergeCell ref="A324:C324"/>
    <mergeCell ref="A316:C316"/>
    <mergeCell ref="A317:C317"/>
    <mergeCell ref="A318:C318"/>
    <mergeCell ref="A321:C321"/>
    <mergeCell ref="A320:C320"/>
    <mergeCell ref="G321:I321"/>
    <mergeCell ref="G329:I329"/>
    <mergeCell ref="G325:I325"/>
    <mergeCell ref="G322:I322"/>
    <mergeCell ref="G328:I328"/>
    <mergeCell ref="G323:I323"/>
    <mergeCell ref="G324:I324"/>
    <mergeCell ref="G326:I326"/>
    <mergeCell ref="G327:I327"/>
    <mergeCell ref="A189:E189"/>
    <mergeCell ref="G320:I320"/>
    <mergeCell ref="H310:I310"/>
    <mergeCell ref="G316:I316"/>
    <mergeCell ref="G318:I318"/>
    <mergeCell ref="G317:I317"/>
    <mergeCell ref="A314:C314"/>
    <mergeCell ref="A315:C315"/>
    <mergeCell ref="G314:I314"/>
    <mergeCell ref="G315:I315"/>
    <mergeCell ref="A311:I311"/>
    <mergeCell ref="E313:I313"/>
    <mergeCell ref="A304:E304"/>
    <mergeCell ref="A305:E305"/>
    <mergeCell ref="E291:F291"/>
    <mergeCell ref="A299:E299"/>
    <mergeCell ref="A300:E300"/>
    <mergeCell ref="A301:E301"/>
    <mergeCell ref="B296:C296"/>
    <mergeCell ref="E281:F281"/>
    <mergeCell ref="E282:F282"/>
    <mergeCell ref="E285:F285"/>
    <mergeCell ref="E286:F286"/>
    <mergeCell ref="A302:E302"/>
    <mergeCell ref="A212:J212"/>
    <mergeCell ref="A157:J157"/>
    <mergeCell ref="A329:C329"/>
    <mergeCell ref="A325:C325"/>
    <mergeCell ref="A242:D242"/>
    <mergeCell ref="F35:H35"/>
    <mergeCell ref="A319:C319"/>
    <mergeCell ref="G319:I319"/>
    <mergeCell ref="A240:D240"/>
    <mergeCell ref="A241:D241"/>
    <mergeCell ref="H260:I260"/>
    <mergeCell ref="A306:E306"/>
    <mergeCell ref="A307:E307"/>
    <mergeCell ref="G301:I301"/>
    <mergeCell ref="G302:I302"/>
    <mergeCell ref="G303:I303"/>
    <mergeCell ref="G304:I304"/>
    <mergeCell ref="G305:I305"/>
    <mergeCell ref="G306:I306"/>
    <mergeCell ref="G307:I307"/>
    <mergeCell ref="F173:I173"/>
    <mergeCell ref="A178:E178"/>
    <mergeCell ref="F184:I184"/>
    <mergeCell ref="A188:E188"/>
  </mergeCells>
  <phoneticPr fontId="0" type="noConversion"/>
  <conditionalFormatting sqref="A145 G145:I145">
    <cfRule type="expression" dxfId="242" priority="62" stopIfTrue="1">
      <formula>$P145="BG"</formula>
    </cfRule>
    <cfRule type="expression" dxfId="241" priority="61" stopIfTrue="1">
      <formula>$P145="B"</formula>
    </cfRule>
  </conditionalFormatting>
  <conditionalFormatting sqref="A264:A294">
    <cfRule type="expression" dxfId="240" priority="71" stopIfTrue="1">
      <formula>WEEKDAY(A264,2)&gt;5</formula>
    </cfRule>
    <cfRule type="expression" dxfId="239" priority="70" stopIfTrue="1">
      <formula>R264=1</formula>
    </cfRule>
  </conditionalFormatting>
  <conditionalFormatting sqref="A216:D216">
    <cfRule type="expression" dxfId="238" priority="52" stopIfTrue="1">
      <formula>$O216&lt;1</formula>
    </cfRule>
  </conditionalFormatting>
  <conditionalFormatting sqref="A217:D217">
    <cfRule type="expression" dxfId="237" priority="51">
      <formula>$S$216=9</formula>
    </cfRule>
  </conditionalFormatting>
  <conditionalFormatting sqref="A217:D225 E213:I220 E222:I230 A234:I240 F154:J154 A155 F155:I155 A202:I211 A212 A213:D215 E221 G221:I221 E231 G231:I232 A241:E241 G241:I241 A242:I242 A244:I258 A315:I329">
    <cfRule type="expression" dxfId="236" priority="57" stopIfTrue="1">
      <formula>$O154&lt;1</formula>
    </cfRule>
  </conditionalFormatting>
  <conditionalFormatting sqref="A226:D232">
    <cfRule type="expression" dxfId="235" priority="4" stopIfTrue="1">
      <formula>$O226&lt;1</formula>
    </cfRule>
  </conditionalFormatting>
  <conditionalFormatting sqref="A227:D227">
    <cfRule type="expression" dxfId="234" priority="3">
      <formula>$S$226=9</formula>
    </cfRule>
  </conditionalFormatting>
  <conditionalFormatting sqref="A236:D236">
    <cfRule type="expression" dxfId="233" priority="44" stopIfTrue="1">
      <formula>$O236&lt;1</formula>
    </cfRule>
  </conditionalFormatting>
  <conditionalFormatting sqref="A237:D237">
    <cfRule type="expression" dxfId="232" priority="43">
      <formula>$S$216=9</formula>
    </cfRule>
  </conditionalFormatting>
  <conditionalFormatting sqref="A237:D242 A243">
    <cfRule type="expression" dxfId="231" priority="45" stopIfTrue="1">
      <formula>$O237&lt;1</formula>
    </cfRule>
  </conditionalFormatting>
  <conditionalFormatting sqref="A190:E191">
    <cfRule type="expression" dxfId="230" priority="311" stopIfTrue="1">
      <formula>$O188&lt;1</formula>
    </cfRule>
  </conditionalFormatting>
  <conditionalFormatting sqref="A192:E193">
    <cfRule type="expression" dxfId="229" priority="421" stopIfTrue="1">
      <formula>$O189&lt;1</formula>
    </cfRule>
  </conditionalFormatting>
  <conditionalFormatting sqref="A194:E198">
    <cfRule type="expression" dxfId="228" priority="53" stopIfTrue="1">
      <formula>$O193&lt;1</formula>
    </cfRule>
  </conditionalFormatting>
  <conditionalFormatting sqref="A28:I30">
    <cfRule type="expression" dxfId="227" priority="79" stopIfTrue="1">
      <formula>NOT(VLOOKUP($I$25,A_JaNein_Auswahl,2)=2)</formula>
    </cfRule>
  </conditionalFormatting>
  <conditionalFormatting sqref="A28:I45">
    <cfRule type="expression" dxfId="226" priority="80" stopIfTrue="1">
      <formula>NOT($Q$24)</formula>
    </cfRule>
  </conditionalFormatting>
  <conditionalFormatting sqref="A34:I34">
    <cfRule type="expression" dxfId="225" priority="85" stopIfTrue="1">
      <formula>NOT($Q$213)</formula>
    </cfRule>
  </conditionalFormatting>
  <conditionalFormatting sqref="A35:I35">
    <cfRule type="expression" dxfId="224" priority="87" stopIfTrue="1">
      <formula>NOT($Q$213)</formula>
    </cfRule>
  </conditionalFormatting>
  <conditionalFormatting sqref="A63:J144">
    <cfRule type="expression" dxfId="223" priority="11" stopIfTrue="1">
      <formula>$P63="BG"</formula>
    </cfRule>
    <cfRule type="expression" dxfId="222" priority="10" stopIfTrue="1">
      <formula>$P63="B"</formula>
    </cfRule>
    <cfRule type="expression" dxfId="221" priority="12" stopIfTrue="1">
      <formula>$P63="K"</formula>
    </cfRule>
  </conditionalFormatting>
  <conditionalFormatting sqref="B264:D294">
    <cfRule type="expression" dxfId="220" priority="133" stopIfTrue="1">
      <formula>AND($AE264&gt;3,$BU264=1)</formula>
    </cfRule>
  </conditionalFormatting>
  <conditionalFormatting sqref="B264:F294">
    <cfRule type="expression" dxfId="219" priority="28" stopIfTrue="1">
      <formula>$AE264=3</formula>
    </cfRule>
    <cfRule type="expression" dxfId="218" priority="30" stopIfTrue="1">
      <formula>OR($AE264=1,$AE264=2,$R264=1)</formula>
    </cfRule>
  </conditionalFormatting>
  <conditionalFormatting sqref="E154:E155">
    <cfRule type="expression" dxfId="217" priority="5" stopIfTrue="1">
      <formula>$O154&lt;1</formula>
    </cfRule>
  </conditionalFormatting>
  <conditionalFormatting sqref="E313">
    <cfRule type="expression" dxfId="216" priority="6">
      <formula>OR(D315="Ja",D315="Oui",D316="Ja",D316="Oui")</formula>
    </cfRule>
  </conditionalFormatting>
  <conditionalFormatting sqref="E264:F294">
    <cfRule type="expression" dxfId="215" priority="29" stopIfTrue="1">
      <formula>OR($AE264&gt;3,$AC264=1)</formula>
    </cfRule>
  </conditionalFormatting>
  <conditionalFormatting sqref="F161">
    <cfRule type="expression" dxfId="214" priority="2" stopIfTrue="1">
      <formula>$O161&lt;1</formula>
    </cfRule>
    <cfRule type="expression" dxfId="213" priority="1">
      <formula>S216=9</formula>
    </cfRule>
  </conditionalFormatting>
  <conditionalFormatting sqref="F161:F162">
    <cfRule type="expression" dxfId="212" priority="25">
      <formula>S216=9</formula>
    </cfRule>
  </conditionalFormatting>
  <conditionalFormatting sqref="F172">
    <cfRule type="expression" dxfId="211" priority="24" stopIfTrue="1">
      <formula>$O172&lt;1</formula>
    </cfRule>
    <cfRule type="expression" dxfId="210" priority="23">
      <formula>S225=9</formula>
    </cfRule>
  </conditionalFormatting>
  <conditionalFormatting sqref="F173">
    <cfRule type="expression" dxfId="209" priority="19" stopIfTrue="1">
      <formula>$O173&lt;1</formula>
    </cfRule>
    <cfRule type="expression" dxfId="208" priority="18">
      <formula>S229=9</formula>
    </cfRule>
  </conditionalFormatting>
  <conditionalFormatting sqref="F183">
    <cfRule type="expression" dxfId="207" priority="21">
      <formula>S236=9</formula>
    </cfRule>
  </conditionalFormatting>
  <conditionalFormatting sqref="F184">
    <cfRule type="expression" dxfId="206" priority="17" stopIfTrue="1">
      <formula>$O184&lt;1</formula>
    </cfRule>
    <cfRule type="expression" dxfId="205" priority="16">
      <formula>S241=9</formula>
    </cfRule>
  </conditionalFormatting>
  <conditionalFormatting sqref="F158:I161 F162 F163:I172 A158:E168 A170:E179 A181:E189 F185:I198">
    <cfRule type="expression" dxfId="204" priority="26" stopIfTrue="1">
      <formula>$O158&lt;1</formula>
    </cfRule>
  </conditionalFormatting>
  <conditionalFormatting sqref="F174:I182">
    <cfRule type="expression" dxfId="203" priority="20" stopIfTrue="1">
      <formula>$O174&lt;1</formula>
    </cfRule>
  </conditionalFormatting>
  <conditionalFormatting sqref="F183:I183 E232:F232">
    <cfRule type="expression" dxfId="202" priority="22" stopIfTrue="1">
      <formula>$O184&lt;1</formula>
    </cfRule>
  </conditionalFormatting>
  <conditionalFormatting sqref="F315:I329">
    <cfRule type="expression" dxfId="201" priority="339" stopIfTrue="1">
      <formula>NOT(VLOOKUP($D315,A_JaNein_Auswahl,2,0)=1)</formula>
    </cfRule>
  </conditionalFormatting>
  <conditionalFormatting sqref="G217:I217">
    <cfRule type="expression" dxfId="200" priority="50">
      <formula>$O217&gt;1</formula>
    </cfRule>
  </conditionalFormatting>
  <conditionalFormatting sqref="G227:I227">
    <cfRule type="expression" dxfId="199" priority="46">
      <formula>$O227&gt;1</formula>
    </cfRule>
  </conditionalFormatting>
  <conditionalFormatting sqref="G237:I237">
    <cfRule type="expression" dxfId="198" priority="42">
      <formula>$O237&gt;1</formula>
    </cfRule>
  </conditionalFormatting>
  <conditionalFormatting sqref="G264:I294">
    <cfRule type="expression" dxfId="197" priority="14" stopIfTrue="1">
      <formula>OR($AE264=1,$AE264=2,$R264=1)</formula>
    </cfRule>
  </conditionalFormatting>
  <conditionalFormatting sqref="G295:I295">
    <cfRule type="expression" dxfId="196" priority="15" stopIfTrue="1">
      <formula>SUM($G$295:$I$295)&gt;0</formula>
    </cfRule>
  </conditionalFormatting>
  <conditionalFormatting sqref="I23:I24 A23:H27 I26:I27">
    <cfRule type="expression" dxfId="195" priority="81" stopIfTrue="1">
      <formula>NOT($Q$24)</formula>
    </cfRule>
  </conditionalFormatting>
  <conditionalFormatting sqref="I25">
    <cfRule type="expression" dxfId="194" priority="88" stopIfTrue="1">
      <formula>NOT($Q$24)</formula>
    </cfRule>
  </conditionalFormatting>
  <conditionalFormatting sqref="I32">
    <cfRule type="expression" dxfId="193" priority="83" stopIfTrue="1">
      <formula>NOT($Q$32)</formula>
    </cfRule>
  </conditionalFormatting>
  <conditionalFormatting sqref="I37">
    <cfRule type="expression" dxfId="192" priority="92" stopIfTrue="1">
      <formula>NOT($O$37=1)</formula>
    </cfRule>
  </conditionalFormatting>
  <conditionalFormatting sqref="I38">
    <cfRule type="expression" dxfId="191" priority="90" stopIfTrue="1">
      <formula>NOT($O$38=1)</formula>
    </cfRule>
  </conditionalFormatting>
  <conditionalFormatting sqref="J262:J295">
    <cfRule type="expression" dxfId="190" priority="78" stopIfTrue="1">
      <formula>SUM($G$295:$I$295)&gt;0</formula>
    </cfRule>
  </conditionalFormatting>
  <conditionalFormatting sqref="U264:AE294 BI264:BS294 CA264:CD294 CF264:CF294 CO264:CY294 DA264:DD294 CE264:CE295">
    <cfRule type="cellIs" dxfId="189" priority="74" stopIfTrue="1" operator="equal">
      <formula>0</formula>
    </cfRule>
  </conditionalFormatting>
  <conditionalFormatting sqref="AF264:AF294">
    <cfRule type="expression" dxfId="188" priority="54" stopIfTrue="1">
      <formula>$AE264=3</formula>
    </cfRule>
    <cfRule type="expression" dxfId="187" priority="56" stopIfTrue="1">
      <formula>$AE264&gt;3</formula>
    </cfRule>
    <cfRule type="expression" dxfId="186" priority="55" stopIfTrue="1">
      <formula>OR($AE264=1,$AE264=2)</formula>
    </cfRule>
  </conditionalFormatting>
  <conditionalFormatting sqref="DJ263:DK294 DI264:DI294 DL264:DM294">
    <cfRule type="cellIs" dxfId="185" priority="27" stopIfTrue="1" operator="equal">
      <formula>0</formula>
    </cfRule>
  </conditionalFormatting>
  <dataValidations count="11">
    <dataValidation type="date" allowBlank="1" showInputMessage="1" showErrorMessage="1" sqref="I232" xr:uid="{00000000-0002-0000-0A00-000001000000}">
      <formula1>I231</formula1>
      <formula2>I226</formula2>
    </dataValidation>
    <dataValidation type="whole" allowBlank="1" showInputMessage="1" showErrorMessage="1" sqref="D264:D294" xr:uid="{00000000-0002-0000-0A00-000002000000}">
      <formula1>0</formula1>
      <formula2>S264</formula2>
    </dataValidation>
    <dataValidation type="date" operator="greaterThanOrEqual" allowBlank="1" showInputMessage="1" showErrorMessage="1" sqref="I225 I215 I235" xr:uid="{00000000-0002-0000-0A00-000003000000}">
      <formula1>I214</formula1>
    </dataValidation>
    <dataValidation type="date" operator="greaterThanOrEqual" allowBlank="1" showInputMessage="1" showErrorMessage="1" sqref="I23" xr:uid="{00000000-0002-0000-0A00-000004000000}">
      <formula1>H21</formula1>
    </dataValidation>
    <dataValidation type="list" allowBlank="1" showInputMessage="1" showErrorMessage="1" sqref="AI25:AI26 I25:I26 D315:D329" xr:uid="{00000000-0002-0000-0A00-000005000000}">
      <formula1>L_JaNein</formula1>
    </dataValidation>
    <dataValidation type="textLength" allowBlank="1" showInputMessage="1" showErrorMessage="1" sqref="G315:I329" xr:uid="{00000000-0002-0000-0A00-000006000000}">
      <formula1>0</formula1>
      <formula2>32</formula2>
    </dataValidation>
    <dataValidation type="list" allowBlank="1" showInputMessage="1" showErrorMessage="1" sqref="G228 G218 G238" xr:uid="{00000000-0002-0000-0A00-000007000000}">
      <formula1>L_Rückfall</formula1>
    </dataValidation>
    <dataValidation type="list" allowBlank="1" showInputMessage="1" showErrorMessage="1" sqref="G216 G226 G236" xr:uid="{00000000-0002-0000-0A00-000008000000}">
      <formula1>L_Arbeitsunfähigkeit_Grund</formula1>
    </dataValidation>
    <dataValidation type="list" allowBlank="1" showInputMessage="1" showErrorMessage="1" sqref="G227:I227 G217:I217 G237:I237" xr:uid="{00000000-0002-0000-0A00-000009000000}">
      <formula1>L_ArtUnfall</formula1>
    </dataValidation>
    <dataValidation type="textLength" allowBlank="1" showInputMessage="1" showErrorMessage="1" sqref="F40:I40 F44:I45 F42:I42" xr:uid="{00000000-0002-0000-0A00-00000A000000}">
      <formula1>0</formula1>
      <formula2>40</formula2>
    </dataValidation>
    <dataValidation type="custom" allowBlank="1" showInputMessage="1" showErrorMessage="1" sqref="E264:F294" xr:uid="{00000000-0002-0000-0A00-00000B000000}">
      <formula1>NOT(U264=1)</formula1>
    </dataValidation>
  </dataValidations>
  <hyperlinks>
    <hyperlink ref="B13:I13" location="Linkziel_M_Eingaben" display="Monatlliche Abrechnung: Geben Sie hier die Informationen ein, um die Lohnabrechnung für diesen Monat zu erstellen" xr:uid="{00000000-0004-0000-0A00-000000000000}"/>
    <hyperlink ref="B18:I18" location="Linkziel_M_Korrekturen" display="Korrekturen: Wenn Sie Korrekturen zu einer früheren Lohnabrechnung machen müssen, können Sie diese hier eingeben" xr:uid="{00000000-0004-0000-0A00-000001000000}"/>
    <hyperlink ref="B17:I17" location="Linkziel_M_Einsatzrapport" display="Einsatzrapport: Wenn Sie einen Einsatzrapport führen wollen, können Sie hier die Arbeitszeit pro Tag erfassen" xr:uid="{00000000-0004-0000-0A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A00-000003000000}"/>
    <hyperlink ref="B15:I15" location="Linkziel_M_ASTeK" display="Verrechnung Assistenzbeitrag: Hier finden Sie die Daten für den Übertrag ins ASTeK (bzw. für das Rechnungsformular Assistenzbeitrag, falls Sie das ASTeK nicht verwenden)" xr:uid="{00000000-0004-0000-0A00-000004000000}"/>
    <hyperlink ref="B14:I14" location="Linkziel_M_Lohnabrechnung" display="Lohnabrechnung zum Ausdrucken" xr:uid="{00000000-0004-0000-0A00-000005000000}"/>
    <hyperlink ref="A5" location="Linkziel_M_Eingaben" display="Linkziel_M_Eingaben" xr:uid="{00000000-0004-0000-0A00-000006000000}"/>
    <hyperlink ref="A6" location="Linkziel_M_Lohnabrechnung" display="Linkziel_M_Lohnabrechnung" xr:uid="{00000000-0004-0000-0A00-000007000000}"/>
    <hyperlink ref="A7" location="Linkziel_M_ASTeK" display="Linkziel_M_ASTeK" xr:uid="{00000000-0004-0000-0A00-000008000000}"/>
    <hyperlink ref="F5" location="Linkziel_M_Abwesenheiten" display="Linkziel_M_Abwesenheiten" xr:uid="{00000000-0004-0000-0A00-000009000000}"/>
    <hyperlink ref="F6" location="Linkziel_M_Einsatzrapport" display="Linkziel_M_Einsatzrapport" xr:uid="{00000000-0004-0000-0A00-00000A000000}"/>
    <hyperlink ref="F7" location="Linkziel_M_Korrekturen" display="Linkziel_M_Korrekturen" xr:uid="{00000000-0004-0000-0A00-00000B000000}"/>
    <hyperlink ref="A16" location="Linkziel_M_Abwesenheiten" display="Linkziel_M_Abwesenheiten" xr:uid="{00000000-0004-0000-0A00-00000C000000}"/>
    <hyperlink ref="A17" location="Linkziel_M_Einsatzrapport" display="Linkziel_M_Einsatzrapport" xr:uid="{00000000-0004-0000-0A00-00000D000000}"/>
    <hyperlink ref="A18" location="Linkziel_M_Korrekturen" display="Linkziel_M_Korrekturen" xr:uid="{00000000-0004-0000-0A00-00000E000000}"/>
    <hyperlink ref="A13" location="Linkziel_M_Eingaben" display="Linkziel_M_Eingaben" xr:uid="{00000000-0004-0000-0A00-00000F000000}"/>
    <hyperlink ref="A14" location="Linkziel_M_Lohnabrechnung" display="Linkziel_M_Lohnabrechnung" xr:uid="{00000000-0004-0000-0A00-000010000000}"/>
    <hyperlink ref="A15" location="Linkziel_M_ASTeK" display="Linkziel_M_ASTeK" xr:uid="{00000000-0004-0000-0A00-000011000000}"/>
    <hyperlink ref="A25:G25" location="Linkziel_M_Einsatzrapport" display="Linkziel_M_Einsatzrapport" xr:uid="{00000000-0004-0000-0A00-000012000000}"/>
    <hyperlink ref="H1:I1" location="Intro!A22" display="zurück zum Intro" xr:uid="{00000000-0004-0000-0A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212" max="16383" man="1"/>
    <brk id="29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Oktober</v>
      </c>
      <c r="H1" s="450" t="str">
        <f ca="1">INDIRECT(ADDRESS(ROW()+N_Offset_M,COLUMN()+(N_SpracheAuswahl)*26,,,"Text"))</f>
        <v>zurück zum Intro</v>
      </c>
      <c r="I1" s="449"/>
      <c r="O1" s="56" t="s">
        <v>97</v>
      </c>
      <c r="P1" s="309">
        <f>DATE('  B  '!C13,10,1)</f>
        <v>45566</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45566</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Oktober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45566</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Oktober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45566</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09 '!AK295</f>
        <v>0</v>
      </c>
      <c r="AL263" s="137"/>
      <c r="AN263" s="137">
        <f>IF(N_Kündigungsfrist_Beginn=AH264,0,1)</f>
        <v>1</v>
      </c>
      <c r="AO263" s="55"/>
      <c r="AP263" s="233">
        <f ca="1">' 09 '!AP295</f>
        <v>0</v>
      </c>
      <c r="AR263" s="234">
        <f ca="1">' 09 '!AR295</f>
        <v>0</v>
      </c>
      <c r="AT263" s="355">
        <f ca="1">' 09 '!AT295+N318</f>
        <v>28</v>
      </c>
      <c r="AV263" s="246">
        <f ca="1">' 09 '!AV295</f>
        <v>0</v>
      </c>
      <c r="AW263" s="245"/>
      <c r="AY263" s="239"/>
      <c r="BA263" s="222"/>
      <c r="BB263" s="249">
        <f ca="1">' 09 '!BB295</f>
        <v>0</v>
      </c>
      <c r="BC263" s="245"/>
      <c r="BE263" s="252">
        <f ca="1">' 09 '!BE295</f>
        <v>0</v>
      </c>
      <c r="BG263" s="252">
        <f ca="1">' 09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45566</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45566</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92</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182</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45567</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45567</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92</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182</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45568</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45568</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92</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182</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45569</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45569</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92</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182</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45570</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45570</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92</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182</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45571</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45571</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92</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182</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45572</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45572</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92</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182</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45573</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45573</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92</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182</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45574</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45574</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92</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182</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45575</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45575</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92</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182</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45576</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45576</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92</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182</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45577</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45577</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92</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182</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45578</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45578</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92</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182</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45579</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45579</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92</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182</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45580</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45580</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92</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182</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45581</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45581</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92</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182</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45582</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45582</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92</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182</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45583</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45583</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92</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182</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45584</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45584</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92</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182</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45585</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45585</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92</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182</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45586</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45586</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92</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182</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45587</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45587</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92</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182</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45588</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45588</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92</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182</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45589</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45589</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92</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182</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45590</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45590</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92</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182</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45591</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45591</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92</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182</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45592</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45592</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92</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182</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45593</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45593</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92</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182</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45594</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45594</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92</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182</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45595</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45595</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92</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182</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45596</v>
      </c>
      <c r="B294" s="154"/>
      <c r="C294" s="154"/>
      <c r="D294" s="154"/>
      <c r="E294" s="875" t="str">
        <f t="shared" ca="1" si="57"/>
        <v/>
      </c>
      <c r="F294" s="876"/>
      <c r="G294" s="667">
        <f t="shared" ca="1" si="114"/>
        <v>0</v>
      </c>
      <c r="H294" s="667">
        <f t="shared" ca="1" si="58"/>
        <v>0</v>
      </c>
      <c r="I294" s="667">
        <f t="shared" ca="1" si="59"/>
        <v>0</v>
      </c>
      <c r="P294" s="151">
        <f t="shared" si="60"/>
        <v>125</v>
      </c>
      <c r="R294" s="55">
        <f t="shared" si="61"/>
        <v>0</v>
      </c>
      <c r="S294" s="55">
        <f t="shared" si="62"/>
        <v>1</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45596</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92</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182</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09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45566</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45566</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Pa29PH7jkrXD9feWYeYYuQSRbe/3nrWdoLvNE3V3QfjPmEHW0X1U2WHzw4SlcUcfqxbKKWbb5VQAvJg7mCoqeQ==" saltValue="Uqw128u/9STA34DrqB6xYA==" spinCount="100000" sheet="1" objects="1" scenarios="1"/>
  <mergeCells count="311">
    <mergeCell ref="A243:J243"/>
    <mergeCell ref="A240:D240"/>
    <mergeCell ref="A241:D241"/>
    <mergeCell ref="A155:D155"/>
    <mergeCell ref="A129:G129"/>
    <mergeCell ref="A130:G130"/>
    <mergeCell ref="A131:G131"/>
    <mergeCell ref="A141:G141"/>
    <mergeCell ref="A142:G142"/>
    <mergeCell ref="A143:G143"/>
    <mergeCell ref="A144:G144"/>
    <mergeCell ref="A132:G132"/>
    <mergeCell ref="A133:G133"/>
    <mergeCell ref="A134:G134"/>
    <mergeCell ref="A135:G135"/>
    <mergeCell ref="A136:G136"/>
    <mergeCell ref="A137:G137"/>
    <mergeCell ref="A138:G138"/>
    <mergeCell ref="A139:G139"/>
    <mergeCell ref="A140:G140"/>
    <mergeCell ref="A152:D152"/>
    <mergeCell ref="A151:D151"/>
    <mergeCell ref="G240:H240"/>
    <mergeCell ref="G226:I226"/>
    <mergeCell ref="A114:G114"/>
    <mergeCell ref="A115:G115"/>
    <mergeCell ref="A116:G116"/>
    <mergeCell ref="A117:G117"/>
    <mergeCell ref="A118:G118"/>
    <mergeCell ref="A119:G119"/>
    <mergeCell ref="A120:G120"/>
    <mergeCell ref="E241:F241"/>
    <mergeCell ref="A121:G121"/>
    <mergeCell ref="A122:G122"/>
    <mergeCell ref="A123:G123"/>
    <mergeCell ref="A124:G124"/>
    <mergeCell ref="A125:G125"/>
    <mergeCell ref="A126:G126"/>
    <mergeCell ref="A127:G127"/>
    <mergeCell ref="A128:G128"/>
    <mergeCell ref="A154:D154"/>
    <mergeCell ref="G236:I236"/>
    <mergeCell ref="G238:I238"/>
    <mergeCell ref="E221:F221"/>
    <mergeCell ref="A219:D219"/>
    <mergeCell ref="F173:I173"/>
    <mergeCell ref="A176:E176"/>
    <mergeCell ref="A177:E177"/>
    <mergeCell ref="A105:G105"/>
    <mergeCell ref="A106:G106"/>
    <mergeCell ref="A107:G107"/>
    <mergeCell ref="A108:G108"/>
    <mergeCell ref="A109:G109"/>
    <mergeCell ref="A110:G110"/>
    <mergeCell ref="A111:G111"/>
    <mergeCell ref="A112:G112"/>
    <mergeCell ref="A113:G113"/>
    <mergeCell ref="G328:I328"/>
    <mergeCell ref="G302:I302"/>
    <mergeCell ref="E275:F275"/>
    <mergeCell ref="G316:I316"/>
    <mergeCell ref="A80:G80"/>
    <mergeCell ref="A81:G81"/>
    <mergeCell ref="A82:G82"/>
    <mergeCell ref="A83:G83"/>
    <mergeCell ref="A84:G84"/>
    <mergeCell ref="A85:G85"/>
    <mergeCell ref="A86:G86"/>
    <mergeCell ref="A87:G87"/>
    <mergeCell ref="A88:G88"/>
    <mergeCell ref="A89:G89"/>
    <mergeCell ref="A90:G90"/>
    <mergeCell ref="A91:G91"/>
    <mergeCell ref="A92:G92"/>
    <mergeCell ref="A93:G93"/>
    <mergeCell ref="A94:G94"/>
    <mergeCell ref="A95:G95"/>
    <mergeCell ref="A96:G96"/>
    <mergeCell ref="A97:G97"/>
    <mergeCell ref="A98:G98"/>
    <mergeCell ref="A99:G99"/>
    <mergeCell ref="E290:F290"/>
    <mergeCell ref="E291:F291"/>
    <mergeCell ref="E292:F292"/>
    <mergeCell ref="G317:I317"/>
    <mergeCell ref="A253:D253"/>
    <mergeCell ref="B261:I261"/>
    <mergeCell ref="G324:I324"/>
    <mergeCell ref="G329:I329"/>
    <mergeCell ref="G325:I325"/>
    <mergeCell ref="G327:I327"/>
    <mergeCell ref="E264:F264"/>
    <mergeCell ref="A311:I311"/>
    <mergeCell ref="A329:C329"/>
    <mergeCell ref="A325:C325"/>
    <mergeCell ref="A328:C328"/>
    <mergeCell ref="A327:C327"/>
    <mergeCell ref="A316:C316"/>
    <mergeCell ref="A317:C317"/>
    <mergeCell ref="A318:C318"/>
    <mergeCell ref="A321:C321"/>
    <mergeCell ref="G322:I322"/>
    <mergeCell ref="A322:C322"/>
    <mergeCell ref="A323:C323"/>
    <mergeCell ref="A324:C324"/>
    <mergeCell ref="E278:F278"/>
    <mergeCell ref="E279:F279"/>
    <mergeCell ref="E280:F280"/>
    <mergeCell ref="E281:F281"/>
    <mergeCell ref="A331:I331"/>
    <mergeCell ref="E276:F276"/>
    <mergeCell ref="E265:F265"/>
    <mergeCell ref="E266:F266"/>
    <mergeCell ref="E267:F267"/>
    <mergeCell ref="E268:F268"/>
    <mergeCell ref="E269:F269"/>
    <mergeCell ref="E270:F270"/>
    <mergeCell ref="G318:I318"/>
    <mergeCell ref="G321:I321"/>
    <mergeCell ref="G319:I319"/>
    <mergeCell ref="G320:I320"/>
    <mergeCell ref="G326:I326"/>
    <mergeCell ref="A303:E303"/>
    <mergeCell ref="A304:E304"/>
    <mergeCell ref="G301:I301"/>
    <mergeCell ref="E282:F282"/>
    <mergeCell ref="E271:F271"/>
    <mergeCell ref="E272:F272"/>
    <mergeCell ref="E289:F289"/>
    <mergeCell ref="A232:D232"/>
    <mergeCell ref="A234:D234"/>
    <mergeCell ref="A235:D235"/>
    <mergeCell ref="A230:D230"/>
    <mergeCell ref="A231:D231"/>
    <mergeCell ref="A237:D237"/>
    <mergeCell ref="A236:D236"/>
    <mergeCell ref="A238:D238"/>
    <mergeCell ref="E231:F231"/>
    <mergeCell ref="A307:E307"/>
    <mergeCell ref="G306:I306"/>
    <mergeCell ref="G307:I307"/>
    <mergeCell ref="A319:C319"/>
    <mergeCell ref="A320:C320"/>
    <mergeCell ref="G305:I305"/>
    <mergeCell ref="A242:D242"/>
    <mergeCell ref="H260:I260"/>
    <mergeCell ref="A252:D252"/>
    <mergeCell ref="E273:F273"/>
    <mergeCell ref="E274:F274"/>
    <mergeCell ref="E262:F262"/>
    <mergeCell ref="A246:D246"/>
    <mergeCell ref="A247:D247"/>
    <mergeCell ref="A248:D248"/>
    <mergeCell ref="A249:D249"/>
    <mergeCell ref="A250:D250"/>
    <mergeCell ref="A251:D251"/>
    <mergeCell ref="G303:I303"/>
    <mergeCell ref="G304:I304"/>
    <mergeCell ref="A302:E302"/>
    <mergeCell ref="E293:F293"/>
    <mergeCell ref="E294:F294"/>
    <mergeCell ref="E277:F277"/>
    <mergeCell ref="G228:I228"/>
    <mergeCell ref="G220:H220"/>
    <mergeCell ref="G230:H230"/>
    <mergeCell ref="G237:I237"/>
    <mergeCell ref="A239:D239"/>
    <mergeCell ref="A229:D229"/>
    <mergeCell ref="G323:I323"/>
    <mergeCell ref="A326:C326"/>
    <mergeCell ref="A301:E301"/>
    <mergeCell ref="B296:C296"/>
    <mergeCell ref="E283:F283"/>
    <mergeCell ref="E284:F284"/>
    <mergeCell ref="E285:F285"/>
    <mergeCell ref="E286:F286"/>
    <mergeCell ref="E287:F287"/>
    <mergeCell ref="E288:F288"/>
    <mergeCell ref="A305:E305"/>
    <mergeCell ref="A299:E299"/>
    <mergeCell ref="A300:E300"/>
    <mergeCell ref="A314:C314"/>
    <mergeCell ref="A315:C315"/>
    <mergeCell ref="G314:I314"/>
    <mergeCell ref="G315:I315"/>
    <mergeCell ref="A306:E306"/>
    <mergeCell ref="A26:I26"/>
    <mergeCell ref="E28:F28"/>
    <mergeCell ref="E27:F27"/>
    <mergeCell ref="E29:F29"/>
    <mergeCell ref="A25:H25"/>
    <mergeCell ref="F34:H34"/>
    <mergeCell ref="E313:I313"/>
    <mergeCell ref="H310:I310"/>
    <mergeCell ref="A207:D207"/>
    <mergeCell ref="A214:D214"/>
    <mergeCell ref="A210:D210"/>
    <mergeCell ref="A211:D211"/>
    <mergeCell ref="A221:D221"/>
    <mergeCell ref="A228:D228"/>
    <mergeCell ref="A208:D208"/>
    <mergeCell ref="G217:I217"/>
    <mergeCell ref="A227:D227"/>
    <mergeCell ref="G227:I227"/>
    <mergeCell ref="A225:D225"/>
    <mergeCell ref="A226:D226"/>
    <mergeCell ref="A222:D222"/>
    <mergeCell ref="A224:D224"/>
    <mergeCell ref="A220:D220"/>
    <mergeCell ref="G218:I218"/>
    <mergeCell ref="A31:D31"/>
    <mergeCell ref="A41:D41"/>
    <mergeCell ref="E41:F41"/>
    <mergeCell ref="A39:D39"/>
    <mergeCell ref="A36:D36"/>
    <mergeCell ref="E31:F31"/>
    <mergeCell ref="E30:F30"/>
    <mergeCell ref="A34:D34"/>
    <mergeCell ref="B13:I13"/>
    <mergeCell ref="B14:I14"/>
    <mergeCell ref="B15:I15"/>
    <mergeCell ref="B16:I16"/>
    <mergeCell ref="B17:I17"/>
    <mergeCell ref="B18:I18"/>
    <mergeCell ref="F40:I40"/>
    <mergeCell ref="A32:D32"/>
    <mergeCell ref="A33:D33"/>
    <mergeCell ref="F32:H32"/>
    <mergeCell ref="F33:H33"/>
    <mergeCell ref="A27:D27"/>
    <mergeCell ref="A29:D29"/>
    <mergeCell ref="A30:D30"/>
    <mergeCell ref="H21:I21"/>
    <mergeCell ref="A28:D28"/>
    <mergeCell ref="A64:G64"/>
    <mergeCell ref="A65:G65"/>
    <mergeCell ref="A66:G66"/>
    <mergeCell ref="A67:G67"/>
    <mergeCell ref="A68:G68"/>
    <mergeCell ref="A69:G69"/>
    <mergeCell ref="A70:G70"/>
    <mergeCell ref="A35:D35"/>
    <mergeCell ref="F35:H35"/>
    <mergeCell ref="A43:D43"/>
    <mergeCell ref="E43:H43"/>
    <mergeCell ref="A74:G74"/>
    <mergeCell ref="A75:G75"/>
    <mergeCell ref="A76:G76"/>
    <mergeCell ref="A77:G77"/>
    <mergeCell ref="A78:G78"/>
    <mergeCell ref="A180:E180"/>
    <mergeCell ref="A181:E181"/>
    <mergeCell ref="A79:G79"/>
    <mergeCell ref="A42:E42"/>
    <mergeCell ref="F42:I42"/>
    <mergeCell ref="A174:E174"/>
    <mergeCell ref="A175:E175"/>
    <mergeCell ref="A45:E45"/>
    <mergeCell ref="F44:I44"/>
    <mergeCell ref="F45:I45"/>
    <mergeCell ref="A149:I149"/>
    <mergeCell ref="A148:I148"/>
    <mergeCell ref="H147:I147"/>
    <mergeCell ref="A44:E44"/>
    <mergeCell ref="A100:G100"/>
    <mergeCell ref="A101:G101"/>
    <mergeCell ref="A102:G102"/>
    <mergeCell ref="A103:G103"/>
    <mergeCell ref="A104:G104"/>
    <mergeCell ref="A157:J157"/>
    <mergeCell ref="F184:I184"/>
    <mergeCell ref="A188:E188"/>
    <mergeCell ref="A189:E189"/>
    <mergeCell ref="A158:E158"/>
    <mergeCell ref="A159:E159"/>
    <mergeCell ref="A160:E160"/>
    <mergeCell ref="A161:E161"/>
    <mergeCell ref="A71:G71"/>
    <mergeCell ref="A183:E183"/>
    <mergeCell ref="A164:E164"/>
    <mergeCell ref="A165:E165"/>
    <mergeCell ref="A166:E166"/>
    <mergeCell ref="A169:E169"/>
    <mergeCell ref="A170:E170"/>
    <mergeCell ref="A171:E171"/>
    <mergeCell ref="A172:E172"/>
    <mergeCell ref="A173:E173"/>
    <mergeCell ref="A167:E167"/>
    <mergeCell ref="A162:E162"/>
    <mergeCell ref="A163:E163"/>
    <mergeCell ref="A178:E178"/>
    <mergeCell ref="A72:G72"/>
    <mergeCell ref="A73:G73"/>
    <mergeCell ref="A218:D218"/>
    <mergeCell ref="F162:I162"/>
    <mergeCell ref="A212:J212"/>
    <mergeCell ref="A184:E184"/>
    <mergeCell ref="A202:D202"/>
    <mergeCell ref="A204:D204"/>
    <mergeCell ref="A206:D206"/>
    <mergeCell ref="A205:D205"/>
    <mergeCell ref="A203:D203"/>
    <mergeCell ref="A216:D216"/>
    <mergeCell ref="A217:D217"/>
    <mergeCell ref="G216:I216"/>
    <mergeCell ref="A209:D209"/>
    <mergeCell ref="A185:E185"/>
    <mergeCell ref="A186:E186"/>
    <mergeCell ref="A187:E187"/>
    <mergeCell ref="A215:D215"/>
    <mergeCell ref="A182:E182"/>
  </mergeCells>
  <phoneticPr fontId="0" type="noConversion"/>
  <conditionalFormatting sqref="A145 G145:I145">
    <cfRule type="expression" dxfId="184" priority="62" stopIfTrue="1">
      <formula>$P145="BG"</formula>
    </cfRule>
    <cfRule type="expression" dxfId="183" priority="61" stopIfTrue="1">
      <formula>$P145="B"</formula>
    </cfRule>
  </conditionalFormatting>
  <conditionalFormatting sqref="A264:A294">
    <cfRule type="expression" dxfId="182" priority="71" stopIfTrue="1">
      <formula>WEEKDAY(A264,2)&gt;5</formula>
    </cfRule>
    <cfRule type="expression" dxfId="181" priority="70" stopIfTrue="1">
      <formula>R264=1</formula>
    </cfRule>
  </conditionalFormatting>
  <conditionalFormatting sqref="A216:D216">
    <cfRule type="expression" dxfId="180" priority="52" stopIfTrue="1">
      <formula>$O216&lt;1</formula>
    </cfRule>
  </conditionalFormatting>
  <conditionalFormatting sqref="A217:D217">
    <cfRule type="expression" dxfId="179" priority="51">
      <formula>$S$216=9</formula>
    </cfRule>
  </conditionalFormatting>
  <conditionalFormatting sqref="A217:D225 E213:I220 E222:I230 A234:I240 F154:J154 A155 F155:I155 A202:I211 A212 A213:D215 E221 G221:I221 E231 G231:I232 A241:E241 G241:I241 A242:I242 A244:I258 A315:I329">
    <cfRule type="expression" dxfId="178" priority="57" stopIfTrue="1">
      <formula>$O154&lt;1</formula>
    </cfRule>
  </conditionalFormatting>
  <conditionalFormatting sqref="A226:D232">
    <cfRule type="expression" dxfId="177" priority="4" stopIfTrue="1">
      <formula>$O226&lt;1</formula>
    </cfRule>
  </conditionalFormatting>
  <conditionalFormatting sqref="A227:D227">
    <cfRule type="expression" dxfId="176" priority="3">
      <formula>$S$226=9</formula>
    </cfRule>
  </conditionalFormatting>
  <conditionalFormatting sqref="A236:D236">
    <cfRule type="expression" dxfId="175" priority="44" stopIfTrue="1">
      <formula>$O236&lt;1</formula>
    </cfRule>
  </conditionalFormatting>
  <conditionalFormatting sqref="A237:D237">
    <cfRule type="expression" dxfId="174" priority="43">
      <formula>$S$216=9</formula>
    </cfRule>
  </conditionalFormatting>
  <conditionalFormatting sqref="A237:D242 A243">
    <cfRule type="expression" dxfId="173" priority="45" stopIfTrue="1">
      <formula>$O237&lt;1</formula>
    </cfRule>
  </conditionalFormatting>
  <conditionalFormatting sqref="A190:E191">
    <cfRule type="expression" dxfId="172" priority="317" stopIfTrue="1">
      <formula>$O188&lt;1</formula>
    </cfRule>
  </conditionalFormatting>
  <conditionalFormatting sqref="A192:E193">
    <cfRule type="expression" dxfId="171" priority="427" stopIfTrue="1">
      <formula>$O189&lt;1</formula>
    </cfRule>
  </conditionalFormatting>
  <conditionalFormatting sqref="A194:E198">
    <cfRule type="expression" dxfId="170" priority="53" stopIfTrue="1">
      <formula>$O193&lt;1</formula>
    </cfRule>
  </conditionalFormatting>
  <conditionalFormatting sqref="A28:I30">
    <cfRule type="expression" dxfId="169" priority="79" stopIfTrue="1">
      <formula>NOT(VLOOKUP($I$25,A_JaNein_Auswahl,2)=2)</formula>
    </cfRule>
  </conditionalFormatting>
  <conditionalFormatting sqref="A28:I45">
    <cfRule type="expression" dxfId="168" priority="80" stopIfTrue="1">
      <formula>NOT($Q$24)</formula>
    </cfRule>
  </conditionalFormatting>
  <conditionalFormatting sqref="A34:I34">
    <cfRule type="expression" dxfId="167" priority="85" stopIfTrue="1">
      <formula>NOT($Q$213)</formula>
    </cfRule>
  </conditionalFormatting>
  <conditionalFormatting sqref="A35:I35">
    <cfRule type="expression" dxfId="166" priority="87" stopIfTrue="1">
      <formula>NOT($Q$213)</formula>
    </cfRule>
  </conditionalFormatting>
  <conditionalFormatting sqref="A63:J144">
    <cfRule type="expression" dxfId="165" priority="11" stopIfTrue="1">
      <formula>$P63="BG"</formula>
    </cfRule>
    <cfRule type="expression" dxfId="164" priority="10" stopIfTrue="1">
      <formula>$P63="B"</formula>
    </cfRule>
    <cfRule type="expression" dxfId="163" priority="12" stopIfTrue="1">
      <formula>$P63="K"</formula>
    </cfRule>
  </conditionalFormatting>
  <conditionalFormatting sqref="B264:D294">
    <cfRule type="expression" dxfId="162" priority="187" stopIfTrue="1">
      <formula>AND($AE264&gt;3,$BU264=1)</formula>
    </cfRule>
  </conditionalFormatting>
  <conditionalFormatting sqref="B264:F294">
    <cfRule type="expression" dxfId="161" priority="28" stopIfTrue="1">
      <formula>$AE264=3</formula>
    </cfRule>
    <cfRule type="expression" dxfId="160" priority="30" stopIfTrue="1">
      <formula>OR($AE264=1,$AE264=2,$R264=1)</formula>
    </cfRule>
  </conditionalFormatting>
  <conditionalFormatting sqref="E154:E155">
    <cfRule type="expression" dxfId="159" priority="5" stopIfTrue="1">
      <formula>$O154&lt;1</formula>
    </cfRule>
  </conditionalFormatting>
  <conditionalFormatting sqref="E313">
    <cfRule type="expression" dxfId="158" priority="6">
      <formula>OR(D315="Ja",D315="Oui",D316="Ja",D316="Oui")</formula>
    </cfRule>
  </conditionalFormatting>
  <conditionalFormatting sqref="E264:F294">
    <cfRule type="expression" dxfId="157" priority="29" stopIfTrue="1">
      <formula>OR($AE264&gt;3,$AC264=1)</formula>
    </cfRule>
  </conditionalFormatting>
  <conditionalFormatting sqref="F161">
    <cfRule type="expression" dxfId="156" priority="2" stopIfTrue="1">
      <formula>$O161&lt;1</formula>
    </cfRule>
    <cfRule type="expression" dxfId="155" priority="1">
      <formula>S216=9</formula>
    </cfRule>
  </conditionalFormatting>
  <conditionalFormatting sqref="F161:F162">
    <cfRule type="expression" dxfId="154" priority="25">
      <formula>S216=9</formula>
    </cfRule>
  </conditionalFormatting>
  <conditionalFormatting sqref="F172">
    <cfRule type="expression" dxfId="153" priority="24" stopIfTrue="1">
      <formula>$O172&lt;1</formula>
    </cfRule>
    <cfRule type="expression" dxfId="152" priority="23">
      <formula>S225=9</formula>
    </cfRule>
  </conditionalFormatting>
  <conditionalFormatting sqref="F173">
    <cfRule type="expression" dxfId="151" priority="19" stopIfTrue="1">
      <formula>$O173&lt;1</formula>
    </cfRule>
    <cfRule type="expression" dxfId="150" priority="18">
      <formula>S229=9</formula>
    </cfRule>
  </conditionalFormatting>
  <conditionalFormatting sqref="F183">
    <cfRule type="expression" dxfId="149" priority="21">
      <formula>S236=9</formula>
    </cfRule>
  </conditionalFormatting>
  <conditionalFormatting sqref="F184">
    <cfRule type="expression" dxfId="148" priority="17" stopIfTrue="1">
      <formula>$O184&lt;1</formula>
    </cfRule>
    <cfRule type="expression" dxfId="147" priority="16">
      <formula>S241=9</formula>
    </cfRule>
  </conditionalFormatting>
  <conditionalFormatting sqref="F158:I161 F162 F163:I172 A158:E168 A170:E179 A181:E189 F185:I198">
    <cfRule type="expression" dxfId="146" priority="26" stopIfTrue="1">
      <formula>$O158&lt;1</formula>
    </cfRule>
  </conditionalFormatting>
  <conditionalFormatting sqref="F174:I182">
    <cfRule type="expression" dxfId="145" priority="20" stopIfTrue="1">
      <formula>$O174&lt;1</formula>
    </cfRule>
  </conditionalFormatting>
  <conditionalFormatting sqref="F183:I183 E232:F232">
    <cfRule type="expression" dxfId="144" priority="22" stopIfTrue="1">
      <formula>$O184&lt;1</formula>
    </cfRule>
  </conditionalFormatting>
  <conditionalFormatting sqref="F315:I329">
    <cfRule type="expression" dxfId="143" priority="363" stopIfTrue="1">
      <formula>NOT(VLOOKUP($D315,A_JaNein_Auswahl,2,0)=1)</formula>
    </cfRule>
  </conditionalFormatting>
  <conditionalFormatting sqref="G217:I217">
    <cfRule type="expression" dxfId="142" priority="50">
      <formula>$O217&gt;1</formula>
    </cfRule>
  </conditionalFormatting>
  <conditionalFormatting sqref="G227:I227">
    <cfRule type="expression" dxfId="141" priority="46">
      <formula>$O227&gt;1</formula>
    </cfRule>
  </conditionalFormatting>
  <conditionalFormatting sqref="G237:I237">
    <cfRule type="expression" dxfId="140" priority="42">
      <formula>$O237&gt;1</formula>
    </cfRule>
  </conditionalFormatting>
  <conditionalFormatting sqref="G264:I294">
    <cfRule type="expression" dxfId="139" priority="14" stopIfTrue="1">
      <formula>OR($AE264=1,$AE264=2,$R264=1)</formula>
    </cfRule>
  </conditionalFormatting>
  <conditionalFormatting sqref="G295:I295">
    <cfRule type="expression" dxfId="138" priority="15" stopIfTrue="1">
      <formula>SUM($G$295:$I$295)&gt;0</formula>
    </cfRule>
  </conditionalFormatting>
  <conditionalFormatting sqref="I23:I24 A23:H27 I26:I27">
    <cfRule type="expression" dxfId="137" priority="81" stopIfTrue="1">
      <formula>NOT($Q$24)</formula>
    </cfRule>
  </conditionalFormatting>
  <conditionalFormatting sqref="I25">
    <cfRule type="expression" dxfId="136" priority="88" stopIfTrue="1">
      <formula>NOT($Q$24)</formula>
    </cfRule>
  </conditionalFormatting>
  <conditionalFormatting sqref="I32">
    <cfRule type="expression" dxfId="135" priority="83" stopIfTrue="1">
      <formula>NOT($Q$32)</formula>
    </cfRule>
  </conditionalFormatting>
  <conditionalFormatting sqref="I37">
    <cfRule type="expression" dxfId="134" priority="92" stopIfTrue="1">
      <formula>NOT($O$37=1)</formula>
    </cfRule>
  </conditionalFormatting>
  <conditionalFormatting sqref="I38">
    <cfRule type="expression" dxfId="133" priority="90" stopIfTrue="1">
      <formula>NOT($O$38=1)</formula>
    </cfRule>
  </conditionalFormatting>
  <conditionalFormatting sqref="J262:J295">
    <cfRule type="expression" dxfId="132" priority="78" stopIfTrue="1">
      <formula>SUM($G$295:$I$295)&gt;0</formula>
    </cfRule>
  </conditionalFormatting>
  <conditionalFormatting sqref="U264:AE294 BI264:BS294 CA264:CD294 CF264:CF294 CO264:CY294 DA264:DD294 CE264:CE295">
    <cfRule type="cellIs" dxfId="131" priority="74" stopIfTrue="1" operator="equal">
      <formula>0</formula>
    </cfRule>
  </conditionalFormatting>
  <conditionalFormatting sqref="AF264:AF294">
    <cfRule type="expression" dxfId="130" priority="54" stopIfTrue="1">
      <formula>$AE264=3</formula>
    </cfRule>
    <cfRule type="expression" dxfId="129" priority="56" stopIfTrue="1">
      <formula>$AE264&gt;3</formula>
    </cfRule>
    <cfRule type="expression" dxfId="128" priority="55" stopIfTrue="1">
      <formula>OR($AE264=1,$AE264=2)</formula>
    </cfRule>
  </conditionalFormatting>
  <conditionalFormatting sqref="DJ263:DK294 DI264:DI294 DL264:DM294">
    <cfRule type="cellIs" dxfId="127" priority="27" stopIfTrue="1" operator="equal">
      <formula>0</formula>
    </cfRule>
  </conditionalFormatting>
  <dataValidations count="11">
    <dataValidation type="date" allowBlank="1" showInputMessage="1" showErrorMessage="1" sqref="I232" xr:uid="{00000000-0002-0000-0B00-000001000000}">
      <formula1>I231</formula1>
      <formula2>I226</formula2>
    </dataValidation>
    <dataValidation type="whole" allowBlank="1" showInputMessage="1" showErrorMessage="1" sqref="D264:D294" xr:uid="{00000000-0002-0000-0B00-000002000000}">
      <formula1>0</formula1>
      <formula2>S264</formula2>
    </dataValidation>
    <dataValidation type="date" operator="greaterThanOrEqual" allowBlank="1" showInputMessage="1" showErrorMessage="1" sqref="I225 I215 I235" xr:uid="{00000000-0002-0000-0B00-000003000000}">
      <formula1>I214</formula1>
    </dataValidation>
    <dataValidation type="date" operator="greaterThanOrEqual" allowBlank="1" showInputMessage="1" showErrorMessage="1" sqref="I23" xr:uid="{00000000-0002-0000-0B00-000004000000}">
      <formula1>H21</formula1>
    </dataValidation>
    <dataValidation type="list" allowBlank="1" showInputMessage="1" showErrorMessage="1" sqref="AI25:AI26 I25:I26 D315:D329" xr:uid="{00000000-0002-0000-0B00-000005000000}">
      <formula1>L_JaNein</formula1>
    </dataValidation>
    <dataValidation type="textLength" allowBlank="1" showInputMessage="1" showErrorMessage="1" sqref="G315:I329" xr:uid="{00000000-0002-0000-0B00-000006000000}">
      <formula1>0</formula1>
      <formula2>32</formula2>
    </dataValidation>
    <dataValidation type="list" allowBlank="1" showInputMessage="1" showErrorMessage="1" sqref="G228 G218 G238" xr:uid="{00000000-0002-0000-0B00-000007000000}">
      <formula1>L_Rückfall</formula1>
    </dataValidation>
    <dataValidation type="list" allowBlank="1" showInputMessage="1" showErrorMessage="1" sqref="G216 G226 G236" xr:uid="{00000000-0002-0000-0B00-000008000000}">
      <formula1>L_Arbeitsunfähigkeit_Grund</formula1>
    </dataValidation>
    <dataValidation type="list" allowBlank="1" showInputMessage="1" showErrorMessage="1" sqref="G227:I227 G217:I217 G237:I237" xr:uid="{00000000-0002-0000-0B00-000009000000}">
      <formula1>L_ArtUnfall</formula1>
    </dataValidation>
    <dataValidation type="textLength" allowBlank="1" showInputMessage="1" showErrorMessage="1" sqref="F40:I40 F44:I45 F42:I42" xr:uid="{00000000-0002-0000-0B00-00000A000000}">
      <formula1>0</formula1>
      <formula2>40</formula2>
    </dataValidation>
    <dataValidation type="custom" allowBlank="1" showInputMessage="1" showErrorMessage="1" sqref="E264:F294" xr:uid="{00000000-0002-0000-0B00-00000B000000}">
      <formula1>NOT(U264=1)</formula1>
    </dataValidation>
  </dataValidations>
  <hyperlinks>
    <hyperlink ref="B13:I13" location="Linkziel_M_Eingaben" display="Monatlliche Abrechnung: Geben Sie hier die Informationen ein, um die Lohnabrechnung für diesen Monat zu erstellen" xr:uid="{00000000-0004-0000-0B00-000000000000}"/>
    <hyperlink ref="B18:I18" location="Linkziel_M_Korrekturen" display="Korrekturen: Wenn Sie Korrekturen zu einer früheren Lohnabrechnung machen müssen, können Sie diese hier eingeben" xr:uid="{00000000-0004-0000-0B00-000001000000}"/>
    <hyperlink ref="B17:I17" location="Linkziel_M_Einsatzrapport" display="Einsatzrapport: Wenn Sie einen Einsatzrapport führen wollen, können Sie hier die Arbeitszeit pro Tag erfassen" xr:uid="{00000000-0004-0000-0B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B00-000003000000}"/>
    <hyperlink ref="B15:I15" location="Linkziel_M_ASTeK" display="Verrechnung Assistenzbeitrag: Hier finden Sie die Daten für den Übertrag ins ASTeK (bzw. für das Rechnungsformular Assistenzbeitrag, falls Sie das ASTeK nicht verwenden)" xr:uid="{00000000-0004-0000-0B00-000004000000}"/>
    <hyperlink ref="B14:I14" location="Linkziel_M_Lohnabrechnung" display="Lohnabrechnung zum Ausdrucken" xr:uid="{00000000-0004-0000-0B00-000005000000}"/>
    <hyperlink ref="A5" location="Linkziel_M_Eingaben" display="Linkziel_M_Eingaben" xr:uid="{00000000-0004-0000-0B00-000006000000}"/>
    <hyperlink ref="A6" location="Linkziel_M_Lohnabrechnung" display="Linkziel_M_Lohnabrechnung" xr:uid="{00000000-0004-0000-0B00-000007000000}"/>
    <hyperlink ref="A7" location="Linkziel_M_ASTeK" display="Linkziel_M_ASTeK" xr:uid="{00000000-0004-0000-0B00-000008000000}"/>
    <hyperlink ref="F5" location="Linkziel_M_Abwesenheiten" display="Linkziel_M_Abwesenheiten" xr:uid="{00000000-0004-0000-0B00-000009000000}"/>
    <hyperlink ref="F6" location="Linkziel_M_Einsatzrapport" display="Linkziel_M_Einsatzrapport" xr:uid="{00000000-0004-0000-0B00-00000A000000}"/>
    <hyperlink ref="F7" location="Linkziel_M_Korrekturen" display="Linkziel_M_Korrekturen" xr:uid="{00000000-0004-0000-0B00-00000B000000}"/>
    <hyperlink ref="A16" location="Linkziel_M_Abwesenheiten" display="Linkziel_M_Abwesenheiten" xr:uid="{00000000-0004-0000-0B00-00000C000000}"/>
    <hyperlink ref="A17" location="Linkziel_M_Einsatzrapport" display="Linkziel_M_Einsatzrapport" xr:uid="{00000000-0004-0000-0B00-00000D000000}"/>
    <hyperlink ref="A18" location="Linkziel_M_Korrekturen" display="Linkziel_M_Korrekturen" xr:uid="{00000000-0004-0000-0B00-00000E000000}"/>
    <hyperlink ref="A13" location="Linkziel_M_Eingaben" display="Linkziel_M_Eingaben" xr:uid="{00000000-0004-0000-0B00-00000F000000}"/>
    <hyperlink ref="A14" location="Linkziel_M_Lohnabrechnung" display="Linkziel_M_Lohnabrechnung" xr:uid="{00000000-0004-0000-0B00-000010000000}"/>
    <hyperlink ref="A15" location="Linkziel_M_ASTeK" display="Linkziel_M_ASTeK" xr:uid="{00000000-0004-0000-0B00-000011000000}"/>
    <hyperlink ref="A25:G25" location="Linkziel_M_Einsatzrapport" display="Linkziel_M_Einsatzrapport" xr:uid="{00000000-0004-0000-0B00-000012000000}"/>
    <hyperlink ref="H1:I1" location="Intro!A22" display="zurück zum Intro" xr:uid="{00000000-0004-0000-0B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9" man="1"/>
    <brk id="297"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November</v>
      </c>
      <c r="H1" s="450" t="str">
        <f ca="1">INDIRECT(ADDRESS(ROW()+N_Offset_M,COLUMN()+(N_SpracheAuswahl)*26,,,"Text"))</f>
        <v>zurück zum Intro</v>
      </c>
      <c r="I1" s="449"/>
      <c r="O1" s="56" t="s">
        <v>97</v>
      </c>
      <c r="P1" s="565">
        <f>DATE('  B  '!C13,11,1)</f>
        <v>45597</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30</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45597</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November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45597</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November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7"/>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45597</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10 '!AK295</f>
        <v>0</v>
      </c>
      <c r="AL263" s="137"/>
      <c r="AN263" s="137">
        <f>IF(N_Kündigungsfrist_Beginn=AH264,0,1)</f>
        <v>1</v>
      </c>
      <c r="AO263" s="55"/>
      <c r="AP263" s="233">
        <f ca="1">' 10 '!AP295</f>
        <v>0</v>
      </c>
      <c r="AR263" s="234">
        <f ca="1">' 10 '!AR295</f>
        <v>0</v>
      </c>
      <c r="AT263" s="355">
        <f ca="1">' 10 '!AT295+N318</f>
        <v>28</v>
      </c>
      <c r="AV263" s="246">
        <f ca="1">' 10 '!AV295</f>
        <v>0</v>
      </c>
      <c r="AW263" s="245"/>
      <c r="AY263" s="239"/>
      <c r="BA263" s="222"/>
      <c r="BB263" s="249">
        <f ca="1">' 10 '!BB295</f>
        <v>0</v>
      </c>
      <c r="BC263" s="245"/>
      <c r="BE263" s="252">
        <f ca="1">' 10 '!BE295</f>
        <v>0</v>
      </c>
      <c r="BG263" s="252">
        <f ca="1">' 10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45597</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45597</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92</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181</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45598</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45598</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92</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181</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45599</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45599</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92</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181</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45600</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45600</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92</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181</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45601</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45601</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92</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181</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45602</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45602</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92</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181</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45603</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45603</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92</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181</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45604</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45604</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92</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181</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45605</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45605</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92</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181</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45606</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45606</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92</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181</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45607</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45607</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92</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181</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45608</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45608</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92</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181</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45609</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45609</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92</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181</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45610</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45610</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92</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181</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45611</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45611</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92</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181</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45612</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45612</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92</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181</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45613</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45613</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92</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181</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45614</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45614</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92</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181</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45615</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45615</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92</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181</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45616</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45616</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92</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181</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45617</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45617</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92</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181</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45618</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45618</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92</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181</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45619</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45619</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92</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181</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45620</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45620</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92</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181</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45621</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45621</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92</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181</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45622</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45622</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92</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181</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45623</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45623</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92</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181</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45624</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45624</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92</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181</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45625</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45625</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92</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181</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45626</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45626</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92</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181</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45627</v>
      </c>
      <c r="B294" s="154"/>
      <c r="C294" s="154"/>
      <c r="D294" s="154"/>
      <c r="E294" s="875" t="str">
        <f t="shared" ca="1" si="57"/>
        <v/>
      </c>
      <c r="F294" s="876"/>
      <c r="G294" s="667">
        <f t="shared" ca="1" si="114"/>
        <v>0</v>
      </c>
      <c r="H294" s="667">
        <f t="shared" ca="1" si="58"/>
        <v>0</v>
      </c>
      <c r="I294" s="667">
        <f t="shared" ca="1" si="59"/>
        <v>0</v>
      </c>
      <c r="P294" s="151">
        <f t="shared" si="60"/>
        <v>125</v>
      </c>
      <c r="R294" s="55">
        <f t="shared" si="61"/>
        <v>1</v>
      </c>
      <c r="S294" s="55">
        <f t="shared" si="62"/>
        <v>0</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45627</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91</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182</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10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45597</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45597</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5H3XFeIcF+GKIvFy9VJmNfcgw5JYwlew4zTKsxLyPgHlSlPxA4HjS9sUEJtUdBIfPkiKyNcR1zBJANUKuAflYA==" saltValue="KDGBN9f/o9VtSvtSD3xbmQ==" spinCount="100000" sheet="1" objects="1" scenarios="1"/>
  <mergeCells count="311">
    <mergeCell ref="G230:H230"/>
    <mergeCell ref="E221:F221"/>
    <mergeCell ref="A137:G137"/>
    <mergeCell ref="A138:G138"/>
    <mergeCell ref="A139:G139"/>
    <mergeCell ref="A140:G140"/>
    <mergeCell ref="A141:G141"/>
    <mergeCell ref="A142:G142"/>
    <mergeCell ref="A143:G143"/>
    <mergeCell ref="A144:G144"/>
    <mergeCell ref="A216:D216"/>
    <mergeCell ref="A214:D214"/>
    <mergeCell ref="A182:E182"/>
    <mergeCell ref="A183:E183"/>
    <mergeCell ref="A184:E184"/>
    <mergeCell ref="A185:E185"/>
    <mergeCell ref="A177:E177"/>
    <mergeCell ref="A180:E180"/>
    <mergeCell ref="A181:E181"/>
    <mergeCell ref="A186:E186"/>
    <mergeCell ref="A187:E187"/>
    <mergeCell ref="H147:I147"/>
    <mergeCell ref="A163:E163"/>
    <mergeCell ref="A160:E160"/>
    <mergeCell ref="A133:G133"/>
    <mergeCell ref="A134:G134"/>
    <mergeCell ref="A135:G135"/>
    <mergeCell ref="A136:G136"/>
    <mergeCell ref="A114:G114"/>
    <mergeCell ref="A115:G115"/>
    <mergeCell ref="A116:G116"/>
    <mergeCell ref="A117:G117"/>
    <mergeCell ref="A118:G118"/>
    <mergeCell ref="A119:G119"/>
    <mergeCell ref="A120:G120"/>
    <mergeCell ref="A121:G121"/>
    <mergeCell ref="A122:G122"/>
    <mergeCell ref="A123:G123"/>
    <mergeCell ref="A124:G124"/>
    <mergeCell ref="A125:G125"/>
    <mergeCell ref="A126:G126"/>
    <mergeCell ref="A127:G127"/>
    <mergeCell ref="A128:G128"/>
    <mergeCell ref="A129:G129"/>
    <mergeCell ref="A130:G130"/>
    <mergeCell ref="A131:G131"/>
    <mergeCell ref="A100:G100"/>
    <mergeCell ref="A101:G101"/>
    <mergeCell ref="A102:G102"/>
    <mergeCell ref="A103:G103"/>
    <mergeCell ref="A104:G104"/>
    <mergeCell ref="A105:G105"/>
    <mergeCell ref="A106:G106"/>
    <mergeCell ref="A107:G107"/>
    <mergeCell ref="A108:G108"/>
    <mergeCell ref="A91:G91"/>
    <mergeCell ref="A92:G92"/>
    <mergeCell ref="A93:G93"/>
    <mergeCell ref="A94:G94"/>
    <mergeCell ref="A95:G95"/>
    <mergeCell ref="A96:G96"/>
    <mergeCell ref="A97:G97"/>
    <mergeCell ref="A98:G98"/>
    <mergeCell ref="A99:G99"/>
    <mergeCell ref="A82:G82"/>
    <mergeCell ref="A83:G83"/>
    <mergeCell ref="A84:G84"/>
    <mergeCell ref="A85:G85"/>
    <mergeCell ref="A86:G86"/>
    <mergeCell ref="A87:G87"/>
    <mergeCell ref="A88:G88"/>
    <mergeCell ref="A89:G89"/>
    <mergeCell ref="A90:G90"/>
    <mergeCell ref="A73:G73"/>
    <mergeCell ref="A74:G74"/>
    <mergeCell ref="A75:G75"/>
    <mergeCell ref="A76:G76"/>
    <mergeCell ref="A77:G77"/>
    <mergeCell ref="A78:G78"/>
    <mergeCell ref="A79:G79"/>
    <mergeCell ref="A80:G80"/>
    <mergeCell ref="A81:G81"/>
    <mergeCell ref="A64:G64"/>
    <mergeCell ref="A65:G65"/>
    <mergeCell ref="A66:G66"/>
    <mergeCell ref="A67:G67"/>
    <mergeCell ref="A68:G68"/>
    <mergeCell ref="A69:G69"/>
    <mergeCell ref="A70:G70"/>
    <mergeCell ref="A71:G71"/>
    <mergeCell ref="A72:G72"/>
    <mergeCell ref="A331:I331"/>
    <mergeCell ref="E292:F292"/>
    <mergeCell ref="E293:F293"/>
    <mergeCell ref="E294:F294"/>
    <mergeCell ref="B261:I261"/>
    <mergeCell ref="G240:H240"/>
    <mergeCell ref="A158:E158"/>
    <mergeCell ref="A148:I148"/>
    <mergeCell ref="A149:I149"/>
    <mergeCell ref="A252:D252"/>
    <mergeCell ref="A253:D253"/>
    <mergeCell ref="E262:F262"/>
    <mergeCell ref="E271:F271"/>
    <mergeCell ref="A204:D204"/>
    <mergeCell ref="A206:D206"/>
    <mergeCell ref="A205:D205"/>
    <mergeCell ref="G238:I238"/>
    <mergeCell ref="G226:I226"/>
    <mergeCell ref="G236:I236"/>
    <mergeCell ref="G218:I218"/>
    <mergeCell ref="G228:I228"/>
    <mergeCell ref="A220:D220"/>
    <mergeCell ref="A215:D215"/>
    <mergeCell ref="G220:H220"/>
    <mergeCell ref="A161:E161"/>
    <mergeCell ref="A162:E162"/>
    <mergeCell ref="A173:E173"/>
    <mergeCell ref="A174:E174"/>
    <mergeCell ref="A175:E175"/>
    <mergeCell ref="A169:E169"/>
    <mergeCell ref="A170:E170"/>
    <mergeCell ref="A171:E171"/>
    <mergeCell ref="A172:E172"/>
    <mergeCell ref="A154:D154"/>
    <mergeCell ref="A155:D155"/>
    <mergeCell ref="A221:D221"/>
    <mergeCell ref="A218:D218"/>
    <mergeCell ref="A219:D219"/>
    <mergeCell ref="A237:D237"/>
    <mergeCell ref="A236:D236"/>
    <mergeCell ref="A238:D238"/>
    <mergeCell ref="A222:D222"/>
    <mergeCell ref="A224:D224"/>
    <mergeCell ref="A229:D229"/>
    <mergeCell ref="A232:D232"/>
    <mergeCell ref="A234:D234"/>
    <mergeCell ref="A235:D235"/>
    <mergeCell ref="A230:D230"/>
    <mergeCell ref="A231:D231"/>
    <mergeCell ref="A164:E164"/>
    <mergeCell ref="A165:E165"/>
    <mergeCell ref="A166:E166"/>
    <mergeCell ref="A167:E167"/>
    <mergeCell ref="A176:E176"/>
    <mergeCell ref="E231:F231"/>
    <mergeCell ref="F162:I162"/>
    <mergeCell ref="A159:E159"/>
    <mergeCell ref="A109:G109"/>
    <mergeCell ref="A110:G110"/>
    <mergeCell ref="A111:G111"/>
    <mergeCell ref="A112:G112"/>
    <mergeCell ref="A113:G113"/>
    <mergeCell ref="G237:I237"/>
    <mergeCell ref="A217:D217"/>
    <mergeCell ref="G217:I217"/>
    <mergeCell ref="A227:D227"/>
    <mergeCell ref="G227:I227"/>
    <mergeCell ref="A225:D225"/>
    <mergeCell ref="A226:D226"/>
    <mergeCell ref="A228:D228"/>
    <mergeCell ref="A152:D152"/>
    <mergeCell ref="G216:I216"/>
    <mergeCell ref="A207:D207"/>
    <mergeCell ref="A209:D209"/>
    <mergeCell ref="A210:D210"/>
    <mergeCell ref="A211:D211"/>
    <mergeCell ref="A208:D208"/>
    <mergeCell ref="A203:D203"/>
    <mergeCell ref="A202:D202"/>
    <mergeCell ref="A132:G132"/>
    <mergeCell ref="A151:D151"/>
    <mergeCell ref="A43:D43"/>
    <mergeCell ref="E28:F28"/>
    <mergeCell ref="E27:F27"/>
    <mergeCell ref="H21:I21"/>
    <mergeCell ref="A28:D28"/>
    <mergeCell ref="A39:D39"/>
    <mergeCell ref="A36:D36"/>
    <mergeCell ref="A42:E42"/>
    <mergeCell ref="F42:I42"/>
    <mergeCell ref="A34:D34"/>
    <mergeCell ref="F34:H34"/>
    <mergeCell ref="A26:I26"/>
    <mergeCell ref="A29:D29"/>
    <mergeCell ref="A27:D27"/>
    <mergeCell ref="A35:D35"/>
    <mergeCell ref="A44:E44"/>
    <mergeCell ref="A45:E45"/>
    <mergeCell ref="F44:I44"/>
    <mergeCell ref="F45:I45"/>
    <mergeCell ref="A25:H25"/>
    <mergeCell ref="E43:H43"/>
    <mergeCell ref="B13:I13"/>
    <mergeCell ref="B14:I14"/>
    <mergeCell ref="B15:I15"/>
    <mergeCell ref="B16:I16"/>
    <mergeCell ref="B17:I17"/>
    <mergeCell ref="B18:I18"/>
    <mergeCell ref="F40:I40"/>
    <mergeCell ref="A41:D41"/>
    <mergeCell ref="E41:F41"/>
    <mergeCell ref="E31:F31"/>
    <mergeCell ref="E30:F30"/>
    <mergeCell ref="E29:F29"/>
    <mergeCell ref="A30:D30"/>
    <mergeCell ref="A31:D31"/>
    <mergeCell ref="A32:D32"/>
    <mergeCell ref="A33:D33"/>
    <mergeCell ref="F32:H32"/>
    <mergeCell ref="F33:H33"/>
    <mergeCell ref="A303:E303"/>
    <mergeCell ref="E279:F279"/>
    <mergeCell ref="E280:F280"/>
    <mergeCell ref="E275:F275"/>
    <mergeCell ref="E276:F276"/>
    <mergeCell ref="E277:F277"/>
    <mergeCell ref="E278:F278"/>
    <mergeCell ref="E290:F290"/>
    <mergeCell ref="E267:F267"/>
    <mergeCell ref="E268:F268"/>
    <mergeCell ref="E269:F269"/>
    <mergeCell ref="E270:F270"/>
    <mergeCell ref="E287:F287"/>
    <mergeCell ref="E283:F283"/>
    <mergeCell ref="E284:F284"/>
    <mergeCell ref="E288:F288"/>
    <mergeCell ref="E289:F289"/>
    <mergeCell ref="E241:F241"/>
    <mergeCell ref="A239:D239"/>
    <mergeCell ref="E272:F272"/>
    <mergeCell ref="E273:F273"/>
    <mergeCell ref="E274:F274"/>
    <mergeCell ref="E264:F264"/>
    <mergeCell ref="E265:F265"/>
    <mergeCell ref="E266:F266"/>
    <mergeCell ref="A251:D251"/>
    <mergeCell ref="A246:D246"/>
    <mergeCell ref="A247:D247"/>
    <mergeCell ref="A248:D248"/>
    <mergeCell ref="A249:D249"/>
    <mergeCell ref="A250:D250"/>
    <mergeCell ref="A243:J243"/>
    <mergeCell ref="A328:C328"/>
    <mergeCell ref="A326:C326"/>
    <mergeCell ref="A327:C327"/>
    <mergeCell ref="A322:C322"/>
    <mergeCell ref="A323:C323"/>
    <mergeCell ref="A324:C324"/>
    <mergeCell ref="A316:C316"/>
    <mergeCell ref="A317:C317"/>
    <mergeCell ref="A318:C318"/>
    <mergeCell ref="A321:C321"/>
    <mergeCell ref="A320:C320"/>
    <mergeCell ref="G321:I321"/>
    <mergeCell ref="G329:I329"/>
    <mergeCell ref="G325:I325"/>
    <mergeCell ref="G322:I322"/>
    <mergeCell ref="G328:I328"/>
    <mergeCell ref="G323:I323"/>
    <mergeCell ref="G324:I324"/>
    <mergeCell ref="G326:I326"/>
    <mergeCell ref="G327:I327"/>
    <mergeCell ref="A189:E189"/>
    <mergeCell ref="G320:I320"/>
    <mergeCell ref="H310:I310"/>
    <mergeCell ref="G316:I316"/>
    <mergeCell ref="G318:I318"/>
    <mergeCell ref="G317:I317"/>
    <mergeCell ref="A314:C314"/>
    <mergeCell ref="A315:C315"/>
    <mergeCell ref="G314:I314"/>
    <mergeCell ref="G315:I315"/>
    <mergeCell ref="A311:I311"/>
    <mergeCell ref="E313:I313"/>
    <mergeCell ref="A304:E304"/>
    <mergeCell ref="A305:E305"/>
    <mergeCell ref="E291:F291"/>
    <mergeCell ref="A299:E299"/>
    <mergeCell ref="A300:E300"/>
    <mergeCell ref="A301:E301"/>
    <mergeCell ref="B296:C296"/>
    <mergeCell ref="E281:F281"/>
    <mergeCell ref="E282:F282"/>
    <mergeCell ref="E285:F285"/>
    <mergeCell ref="E286:F286"/>
    <mergeCell ref="A302:E302"/>
    <mergeCell ref="A212:J212"/>
    <mergeCell ref="A157:J157"/>
    <mergeCell ref="A329:C329"/>
    <mergeCell ref="A325:C325"/>
    <mergeCell ref="A242:D242"/>
    <mergeCell ref="F35:H35"/>
    <mergeCell ref="A319:C319"/>
    <mergeCell ref="G319:I319"/>
    <mergeCell ref="A240:D240"/>
    <mergeCell ref="A241:D241"/>
    <mergeCell ref="H260:I260"/>
    <mergeCell ref="A306:E306"/>
    <mergeCell ref="A307:E307"/>
    <mergeCell ref="G301:I301"/>
    <mergeCell ref="G302:I302"/>
    <mergeCell ref="G303:I303"/>
    <mergeCell ref="G304:I304"/>
    <mergeCell ref="G305:I305"/>
    <mergeCell ref="G306:I306"/>
    <mergeCell ref="G307:I307"/>
    <mergeCell ref="F173:I173"/>
    <mergeCell ref="A178:E178"/>
    <mergeCell ref="F184:I184"/>
    <mergeCell ref="A188:E188"/>
  </mergeCells>
  <phoneticPr fontId="0" type="noConversion"/>
  <conditionalFormatting sqref="A145 G145:I145">
    <cfRule type="expression" dxfId="126" priority="62" stopIfTrue="1">
      <formula>$P145="BG"</formula>
    </cfRule>
    <cfRule type="expression" dxfId="125" priority="61" stopIfTrue="1">
      <formula>$P145="B"</formula>
    </cfRule>
  </conditionalFormatting>
  <conditionalFormatting sqref="A264:A294">
    <cfRule type="expression" dxfId="124" priority="71" stopIfTrue="1">
      <formula>WEEKDAY(A264,2)&gt;5</formula>
    </cfRule>
    <cfRule type="expression" dxfId="123" priority="70" stopIfTrue="1">
      <formula>R264=1</formula>
    </cfRule>
  </conditionalFormatting>
  <conditionalFormatting sqref="A216:D216">
    <cfRule type="expression" dxfId="122" priority="52" stopIfTrue="1">
      <formula>$O216&lt;1</formula>
    </cfRule>
  </conditionalFormatting>
  <conditionalFormatting sqref="A217:D217">
    <cfRule type="expression" dxfId="121" priority="51">
      <formula>$S$216=9</formula>
    </cfRule>
  </conditionalFormatting>
  <conditionalFormatting sqref="A217:D225 E213:I220 E222:I230 A234:I240 F154:J154 A155 F155:I155 A202:I211 A212 A213:D215 E221 G221:I221 E231 G231:I232 A241:E241 G241:I241 A242:I242 A244:I258 A315:I329">
    <cfRule type="expression" dxfId="120" priority="57" stopIfTrue="1">
      <formula>$O154&lt;1</formula>
    </cfRule>
  </conditionalFormatting>
  <conditionalFormatting sqref="A226:D232">
    <cfRule type="expression" dxfId="119" priority="4" stopIfTrue="1">
      <formula>$O226&lt;1</formula>
    </cfRule>
  </conditionalFormatting>
  <conditionalFormatting sqref="A227:D227">
    <cfRule type="expression" dxfId="118" priority="3">
      <formula>$S$226=9</formula>
    </cfRule>
  </conditionalFormatting>
  <conditionalFormatting sqref="A236:D236">
    <cfRule type="expression" dxfId="117" priority="44" stopIfTrue="1">
      <formula>$O236&lt;1</formula>
    </cfRule>
  </conditionalFormatting>
  <conditionalFormatting sqref="A237:D237">
    <cfRule type="expression" dxfId="116" priority="43">
      <formula>$S$216=9</formula>
    </cfRule>
  </conditionalFormatting>
  <conditionalFormatting sqref="A237:D242 A243">
    <cfRule type="expression" dxfId="115" priority="45" stopIfTrue="1">
      <formula>$O237&lt;1</formula>
    </cfRule>
  </conditionalFormatting>
  <conditionalFormatting sqref="A190:E191">
    <cfRule type="expression" dxfId="114" priority="315" stopIfTrue="1">
      <formula>$O188&lt;1</formula>
    </cfRule>
  </conditionalFormatting>
  <conditionalFormatting sqref="A192:E193">
    <cfRule type="expression" dxfId="113" priority="425" stopIfTrue="1">
      <formula>$O189&lt;1</formula>
    </cfRule>
  </conditionalFormatting>
  <conditionalFormatting sqref="A194:E198">
    <cfRule type="expression" dxfId="112" priority="53" stopIfTrue="1">
      <formula>$O193&lt;1</formula>
    </cfRule>
  </conditionalFormatting>
  <conditionalFormatting sqref="A28:I30">
    <cfRule type="expression" dxfId="111" priority="79" stopIfTrue="1">
      <formula>NOT(VLOOKUP($I$25,A_JaNein_Auswahl,2)=2)</formula>
    </cfRule>
  </conditionalFormatting>
  <conditionalFormatting sqref="A28:I45">
    <cfRule type="expression" dxfId="110" priority="80" stopIfTrue="1">
      <formula>NOT($Q$24)</formula>
    </cfRule>
  </conditionalFormatting>
  <conditionalFormatting sqref="A34:I34">
    <cfRule type="expression" dxfId="109" priority="85" stopIfTrue="1">
      <formula>NOT($Q$213)</formula>
    </cfRule>
  </conditionalFormatting>
  <conditionalFormatting sqref="A35:I35">
    <cfRule type="expression" dxfId="108" priority="87" stopIfTrue="1">
      <formula>NOT($Q$213)</formula>
    </cfRule>
  </conditionalFormatting>
  <conditionalFormatting sqref="A63:J144">
    <cfRule type="expression" dxfId="107" priority="11" stopIfTrue="1">
      <formula>$P63="BG"</formula>
    </cfRule>
    <cfRule type="expression" dxfId="106" priority="10" stopIfTrue="1">
      <formula>$P63="B"</formula>
    </cfRule>
    <cfRule type="expression" dxfId="105" priority="12" stopIfTrue="1">
      <formula>$P63="K"</formula>
    </cfRule>
  </conditionalFormatting>
  <conditionalFormatting sqref="B264:D294">
    <cfRule type="expression" dxfId="104" priority="169" stopIfTrue="1">
      <formula>AND($AE264&gt;3,$BU264=1)</formula>
    </cfRule>
  </conditionalFormatting>
  <conditionalFormatting sqref="B264:F294">
    <cfRule type="expression" dxfId="103" priority="28" stopIfTrue="1">
      <formula>$AE264=3</formula>
    </cfRule>
    <cfRule type="expression" dxfId="102" priority="30" stopIfTrue="1">
      <formula>OR($AE264=1,$AE264=2,$R264=1)</formula>
    </cfRule>
  </conditionalFormatting>
  <conditionalFormatting sqref="E154:E155">
    <cfRule type="expression" dxfId="101" priority="5" stopIfTrue="1">
      <formula>$O154&lt;1</formula>
    </cfRule>
  </conditionalFormatting>
  <conditionalFormatting sqref="E313">
    <cfRule type="expression" dxfId="100" priority="6">
      <formula>OR(D315="Ja",D315="Oui",D316="Ja",D316="Oui")</formula>
    </cfRule>
  </conditionalFormatting>
  <conditionalFormatting sqref="E264:F294">
    <cfRule type="expression" dxfId="99" priority="29" stopIfTrue="1">
      <formula>OR($AE264&gt;3,$AC264=1)</formula>
    </cfRule>
  </conditionalFormatting>
  <conditionalFormatting sqref="F161">
    <cfRule type="expression" dxfId="98" priority="2" stopIfTrue="1">
      <formula>$O161&lt;1</formula>
    </cfRule>
    <cfRule type="expression" dxfId="97" priority="1">
      <formula>S216=9</formula>
    </cfRule>
  </conditionalFormatting>
  <conditionalFormatting sqref="F161:F162">
    <cfRule type="expression" dxfId="96" priority="25">
      <formula>S216=9</formula>
    </cfRule>
  </conditionalFormatting>
  <conditionalFormatting sqref="F172">
    <cfRule type="expression" dxfId="95" priority="24" stopIfTrue="1">
      <formula>$O172&lt;1</formula>
    </cfRule>
    <cfRule type="expression" dxfId="94" priority="23">
      <formula>S225=9</formula>
    </cfRule>
  </conditionalFormatting>
  <conditionalFormatting sqref="F173">
    <cfRule type="expression" dxfId="93" priority="19" stopIfTrue="1">
      <formula>$O173&lt;1</formula>
    </cfRule>
    <cfRule type="expression" dxfId="92" priority="18">
      <formula>S229=9</formula>
    </cfRule>
  </conditionalFormatting>
  <conditionalFormatting sqref="F183">
    <cfRule type="expression" dxfId="91" priority="21">
      <formula>S236=9</formula>
    </cfRule>
  </conditionalFormatting>
  <conditionalFormatting sqref="F184">
    <cfRule type="expression" dxfId="90" priority="17" stopIfTrue="1">
      <formula>$O184&lt;1</formula>
    </cfRule>
    <cfRule type="expression" dxfId="89" priority="16">
      <formula>S241=9</formula>
    </cfRule>
  </conditionalFormatting>
  <conditionalFormatting sqref="F158:I161 F162 F163:I172 A158:E168 A170:E179 A181:E189 F185:I198">
    <cfRule type="expression" dxfId="88" priority="26" stopIfTrue="1">
      <formula>$O158&lt;1</formula>
    </cfRule>
  </conditionalFormatting>
  <conditionalFormatting sqref="F174:I182">
    <cfRule type="expression" dxfId="87" priority="20" stopIfTrue="1">
      <formula>$O174&lt;1</formula>
    </cfRule>
  </conditionalFormatting>
  <conditionalFormatting sqref="F183:I183 E232:F232">
    <cfRule type="expression" dxfId="86" priority="22" stopIfTrue="1">
      <formula>$O184&lt;1</formula>
    </cfRule>
  </conditionalFormatting>
  <conditionalFormatting sqref="F315:I329">
    <cfRule type="expression" dxfId="85" priority="355" stopIfTrue="1">
      <formula>NOT(VLOOKUP($D315,A_JaNein_Auswahl,2,0)=1)</formula>
    </cfRule>
  </conditionalFormatting>
  <conditionalFormatting sqref="G217:I217">
    <cfRule type="expression" dxfId="84" priority="50">
      <formula>$O217&gt;1</formula>
    </cfRule>
  </conditionalFormatting>
  <conditionalFormatting sqref="G227:I227">
    <cfRule type="expression" dxfId="83" priority="46">
      <formula>$O227&gt;1</formula>
    </cfRule>
  </conditionalFormatting>
  <conditionalFormatting sqref="G237:I237">
    <cfRule type="expression" dxfId="82" priority="42">
      <formula>$O237&gt;1</formula>
    </cfRule>
  </conditionalFormatting>
  <conditionalFormatting sqref="G264:I294">
    <cfRule type="expression" dxfId="81" priority="14" stopIfTrue="1">
      <formula>OR($AE264=1,$AE264=2,$R264=1)</formula>
    </cfRule>
  </conditionalFormatting>
  <conditionalFormatting sqref="G295:I295">
    <cfRule type="expression" dxfId="80" priority="15" stopIfTrue="1">
      <formula>SUM($G$295:$I$295)&gt;0</formula>
    </cfRule>
  </conditionalFormatting>
  <conditionalFormatting sqref="I23:I24 A23:H27 I26:I27">
    <cfRule type="expression" dxfId="79" priority="81" stopIfTrue="1">
      <formula>NOT($Q$24)</formula>
    </cfRule>
  </conditionalFormatting>
  <conditionalFormatting sqref="I25">
    <cfRule type="expression" dxfId="78" priority="88" stopIfTrue="1">
      <formula>NOT($Q$24)</formula>
    </cfRule>
  </conditionalFormatting>
  <conditionalFormatting sqref="I32">
    <cfRule type="expression" dxfId="77" priority="83" stopIfTrue="1">
      <formula>NOT($Q$32)</formula>
    </cfRule>
  </conditionalFormatting>
  <conditionalFormatting sqref="I37">
    <cfRule type="expression" dxfId="76" priority="92" stopIfTrue="1">
      <formula>NOT($O$37=1)</formula>
    </cfRule>
  </conditionalFormatting>
  <conditionalFormatting sqref="I38">
    <cfRule type="expression" dxfId="75" priority="90" stopIfTrue="1">
      <formula>NOT($O$38=1)</formula>
    </cfRule>
  </conditionalFormatting>
  <conditionalFormatting sqref="J262:J295">
    <cfRule type="expression" dxfId="74" priority="78" stopIfTrue="1">
      <formula>SUM($G$295:$I$295)&gt;0</formula>
    </cfRule>
  </conditionalFormatting>
  <conditionalFormatting sqref="U264:AE294 BI264:BS294 CA264:CD294 CF264:CF294 CO264:CY294 DA264:DD294 CE264:CE295">
    <cfRule type="cellIs" dxfId="73" priority="74" stopIfTrue="1" operator="equal">
      <formula>0</formula>
    </cfRule>
  </conditionalFormatting>
  <conditionalFormatting sqref="AF264:AF294">
    <cfRule type="expression" dxfId="72" priority="54" stopIfTrue="1">
      <formula>$AE264=3</formula>
    </cfRule>
    <cfRule type="expression" dxfId="71" priority="56" stopIfTrue="1">
      <formula>$AE264&gt;3</formula>
    </cfRule>
    <cfRule type="expression" dxfId="70" priority="55" stopIfTrue="1">
      <formula>OR($AE264=1,$AE264=2)</formula>
    </cfRule>
  </conditionalFormatting>
  <conditionalFormatting sqref="DJ263:DK294 DI264:DI294 DL264:DM294">
    <cfRule type="cellIs" dxfId="69" priority="27" stopIfTrue="1" operator="equal">
      <formula>0</formula>
    </cfRule>
  </conditionalFormatting>
  <dataValidations count="11">
    <dataValidation type="date" allowBlank="1" showInputMessage="1" showErrorMessage="1" sqref="I232" xr:uid="{00000000-0002-0000-0C00-000001000000}">
      <formula1>I231</formula1>
      <formula2>I226</formula2>
    </dataValidation>
    <dataValidation type="whole" allowBlank="1" showInputMessage="1" showErrorMessage="1" sqref="D264:D294" xr:uid="{00000000-0002-0000-0C00-000002000000}">
      <formula1>0</formula1>
      <formula2>S264</formula2>
    </dataValidation>
    <dataValidation type="date" operator="greaterThanOrEqual" allowBlank="1" showInputMessage="1" showErrorMessage="1" sqref="I225 I215 I235" xr:uid="{00000000-0002-0000-0C00-000003000000}">
      <formula1>I214</formula1>
    </dataValidation>
    <dataValidation type="date" operator="greaterThanOrEqual" allowBlank="1" showInputMessage="1" showErrorMessage="1" sqref="I23" xr:uid="{00000000-0002-0000-0C00-000004000000}">
      <formula1>H21</formula1>
    </dataValidation>
    <dataValidation type="list" allowBlank="1" showInputMessage="1" showErrorMessage="1" sqref="AI25:AI26 I25:I26 D315:D329" xr:uid="{00000000-0002-0000-0C00-000005000000}">
      <formula1>L_JaNein</formula1>
    </dataValidation>
    <dataValidation type="textLength" allowBlank="1" showInputMessage="1" showErrorMessage="1" sqref="G315:I329" xr:uid="{00000000-0002-0000-0C00-000006000000}">
      <formula1>0</formula1>
      <formula2>32</formula2>
    </dataValidation>
    <dataValidation type="list" allowBlank="1" showInputMessage="1" showErrorMessage="1" sqref="G228 G218 G238" xr:uid="{00000000-0002-0000-0C00-000007000000}">
      <formula1>L_Rückfall</formula1>
    </dataValidation>
    <dataValidation type="list" allowBlank="1" showInputMessage="1" showErrorMessage="1" sqref="G216 G226 G236" xr:uid="{00000000-0002-0000-0C00-000008000000}">
      <formula1>L_Arbeitsunfähigkeit_Grund</formula1>
    </dataValidation>
    <dataValidation type="list" allowBlank="1" showInputMessage="1" showErrorMessage="1" sqref="G227:I227 G217:I217 G237:I237" xr:uid="{00000000-0002-0000-0C00-000009000000}">
      <formula1>L_ArtUnfall</formula1>
    </dataValidation>
    <dataValidation type="textLength" allowBlank="1" showInputMessage="1" showErrorMessage="1" sqref="F40:I40 F44:I45 F42:I42" xr:uid="{00000000-0002-0000-0C00-00000A000000}">
      <formula1>0</formula1>
      <formula2>40</formula2>
    </dataValidation>
    <dataValidation type="custom" allowBlank="1" showInputMessage="1" showErrorMessage="1" sqref="E264:F294" xr:uid="{00000000-0002-0000-0C00-00000B000000}">
      <formula1>NOT(U264=1)</formula1>
    </dataValidation>
  </dataValidations>
  <hyperlinks>
    <hyperlink ref="B13:I13" location="Linkziel_M_Eingaben" display="Monatlliche Abrechnung: Geben Sie hier die Informationen ein, um die Lohnabrechnung für diesen Monat zu erstellen" xr:uid="{00000000-0004-0000-0C00-000000000000}"/>
    <hyperlink ref="B18:I18" location="Linkziel_M_Korrekturen" display="Korrekturen: Wenn Sie Korrekturen zu einer früheren Lohnabrechnung machen müssen, können Sie diese hier eingeben" xr:uid="{00000000-0004-0000-0C00-000001000000}"/>
    <hyperlink ref="B17:I17" location="Linkziel_M_Einsatzrapport" display="Einsatzrapport: Wenn Sie einen Einsatzrapport führen wollen, können Sie hier die Arbeitszeit pro Tag erfassen" xr:uid="{00000000-0004-0000-0C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C00-000003000000}"/>
    <hyperlink ref="B15:I15" location="Linkziel_M_ASTeK" display="Verrechnung Assistenzbeitrag: Hier finden Sie die Daten für den Übertrag ins ASTeK (bzw. für das Rechnungsformular Assistenzbeitrag, falls Sie das ASTeK nicht verwenden)" xr:uid="{00000000-0004-0000-0C00-000004000000}"/>
    <hyperlink ref="B14:I14" location="Linkziel_M_Lohnabrechnung" display="Lohnabrechnung zum Ausdrucken" xr:uid="{00000000-0004-0000-0C00-000005000000}"/>
    <hyperlink ref="A5" location="Linkziel_M_Eingaben" display="Linkziel_M_Eingaben" xr:uid="{00000000-0004-0000-0C00-000006000000}"/>
    <hyperlink ref="A6" location="Linkziel_M_Lohnabrechnung" display="Linkziel_M_Lohnabrechnung" xr:uid="{00000000-0004-0000-0C00-000007000000}"/>
    <hyperlink ref="A7" location="Linkziel_M_ASTeK" display="Linkziel_M_ASTeK" xr:uid="{00000000-0004-0000-0C00-000008000000}"/>
    <hyperlink ref="F5" location="Linkziel_M_Abwesenheiten" display="Linkziel_M_Abwesenheiten" xr:uid="{00000000-0004-0000-0C00-000009000000}"/>
    <hyperlink ref="F6" location="Linkziel_M_Einsatzrapport" display="Linkziel_M_Einsatzrapport" xr:uid="{00000000-0004-0000-0C00-00000A000000}"/>
    <hyperlink ref="F7" location="Linkziel_M_Korrekturen" display="Linkziel_M_Korrekturen" xr:uid="{00000000-0004-0000-0C00-00000B000000}"/>
    <hyperlink ref="A16" location="Linkziel_M_Abwesenheiten" display="Linkziel_M_Abwesenheiten" xr:uid="{00000000-0004-0000-0C00-00000C000000}"/>
    <hyperlink ref="A17" location="Linkziel_M_Einsatzrapport" display="Linkziel_M_Einsatzrapport" xr:uid="{00000000-0004-0000-0C00-00000D000000}"/>
    <hyperlink ref="A18" location="Linkziel_M_Korrekturen" display="Linkziel_M_Korrekturen" xr:uid="{00000000-0004-0000-0C00-00000E000000}"/>
    <hyperlink ref="A13" location="Linkziel_M_Eingaben" display="Linkziel_M_Eingaben" xr:uid="{00000000-0004-0000-0C00-00000F000000}"/>
    <hyperlink ref="A14" location="Linkziel_M_Lohnabrechnung" display="Linkziel_M_Lohnabrechnung" xr:uid="{00000000-0004-0000-0C00-000010000000}"/>
    <hyperlink ref="A15" location="Linkziel_M_ASTeK" display="Linkziel_M_ASTeK" xr:uid="{00000000-0004-0000-0C00-000011000000}"/>
    <hyperlink ref="A25:G25" location="Linkziel_M_Einsatzrapport" display="Linkziel_M_Einsatzrapport" xr:uid="{00000000-0004-0000-0C00-000012000000}"/>
    <hyperlink ref="H1:I1" location="Intro!A22" display="zurück zum Intro" xr:uid="{00000000-0004-0000-0C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7" max="9" man="1"/>
    <brk id="29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Dezember</v>
      </c>
      <c r="H1" s="450" t="str">
        <f ca="1">INDIRECT(ADDRESS(ROW()+N_Offset_M,COLUMN()+(N_SpracheAuswahl)*26,,,"Text"))</f>
        <v>zurück zum Intro</v>
      </c>
      <c r="I1" s="449"/>
      <c r="O1" s="56" t="s">
        <v>97</v>
      </c>
      <c r="P1" s="565">
        <f>DATE('  B  '!C13,12,1)</f>
        <v>45627</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45627</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
        <v>875</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Dezember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45627</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Dezember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45627</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7"/>
      <c r="H263" s="671"/>
      <c r="I263" s="672"/>
      <c r="P263" s="151"/>
      <c r="U263" s="222"/>
      <c r="AE263" s="223"/>
      <c r="AF263" s="39"/>
      <c r="AH263" s="222" t="s">
        <v>636</v>
      </c>
      <c r="AI263" s="152"/>
      <c r="AJ263" s="137"/>
      <c r="AK263" s="233">
        <f ca="1">' 11 '!AK295</f>
        <v>0</v>
      </c>
      <c r="AL263" s="137"/>
      <c r="AN263" s="137">
        <f>IF(N_Kündigungsfrist_Beginn=AH264,0,1)</f>
        <v>1</v>
      </c>
      <c r="AO263" s="55"/>
      <c r="AP263" s="233">
        <f ca="1">' 11 '!AP295</f>
        <v>0</v>
      </c>
      <c r="AR263" s="234">
        <f ca="1">' 11 '!AR295</f>
        <v>0</v>
      </c>
      <c r="AT263" s="355">
        <f ca="1">' 11 '!AT295+N318</f>
        <v>28</v>
      </c>
      <c r="AV263" s="246">
        <f ca="1">' 11 '!AV295</f>
        <v>0</v>
      </c>
      <c r="AW263" s="245"/>
      <c r="AY263" s="239"/>
      <c r="BA263" s="222"/>
      <c r="BB263" s="249">
        <f ca="1">' 11 '!BB295</f>
        <v>0</v>
      </c>
      <c r="BC263" s="245"/>
      <c r="BE263" s="252">
        <f ca="1">' 11 '!BE295</f>
        <v>0</v>
      </c>
      <c r="BG263" s="252">
        <f ca="1">' 11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45627</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45627</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91</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182</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45628</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45628</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91</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182</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45629</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45629</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91</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182</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45630</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45630</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91</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182</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45631</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45631</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91</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182</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45632</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45632</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91</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182</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45633</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45633</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91</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182</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45634</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45634</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91</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182</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45635</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45635</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91</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182</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45636</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45636</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91</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182</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45637</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45637</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91</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182</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45638</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45638</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91</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182</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45639</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45639</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91</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182</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45640</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45640</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91</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182</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45641</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45641</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91</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182</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45642</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45642</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91</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182</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45643</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45643</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91</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182</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45644</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45644</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91</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182</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45645</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45645</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91</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182</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45646</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45646</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91</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182</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45647</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45647</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91</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182</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45648</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45648</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91</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182</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45649</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45649</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91</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182</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45650</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45650</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91</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182</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45651</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45651</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91</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182</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45652</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45652</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91</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182</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45653</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45653</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91</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182</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45654</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45654</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91</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182</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45655</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45655</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91</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182</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45656</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45656</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91</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182</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45657</v>
      </c>
      <c r="B294" s="154"/>
      <c r="C294" s="154"/>
      <c r="D294" s="154"/>
      <c r="E294" s="875" t="str">
        <f t="shared" ca="1" si="57"/>
        <v/>
      </c>
      <c r="F294" s="876"/>
      <c r="G294" s="667">
        <f t="shared" ca="1" si="114"/>
        <v>0</v>
      </c>
      <c r="H294" s="667">
        <f t="shared" ca="1" si="58"/>
        <v>0</v>
      </c>
      <c r="I294" s="667">
        <f t="shared" ca="1" si="59"/>
        <v>0</v>
      </c>
      <c r="P294" s="151">
        <f t="shared" si="60"/>
        <v>125</v>
      </c>
      <c r="R294" s="55">
        <f t="shared" si="61"/>
        <v>0</v>
      </c>
      <c r="S294" s="55">
        <f t="shared" si="62"/>
        <v>1</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45657</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91</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182</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11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45627</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f t="shared" ca="1" si="122"/>
        <v>0</v>
      </c>
      <c r="C316" s="863">
        <f t="shared" ca="1" si="123"/>
        <v>0</v>
      </c>
      <c r="D316" s="136" t="s">
        <v>876</v>
      </c>
      <c r="E316" s="373" t="str">
        <f t="shared" ca="1" si="125"/>
        <v/>
      </c>
      <c r="F316" s="287"/>
      <c r="G316" s="871" t="s">
        <v>26</v>
      </c>
      <c r="H316" s="869"/>
      <c r="I316" s="870"/>
      <c r="O316" s="288">
        <f>1*('  B  '!C61&gt;0)</f>
        <v>0</v>
      </c>
      <c r="P316" s="55">
        <f t="shared" ca="1" si="126"/>
        <v>1</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45627</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Nachtpauschale</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z1v7jyY+yk188b5+lnefBIs13C3mshBW5c7vycYuOHPufae3NrLlcmKmFzWqYd1tgKKowyjLU3xlHHBStRWsKQ==" saltValue="lfMwwhm6oUGhoVIZTaOCiQ==" spinCount="100000" sheet="1" objects="1" scenarios="1"/>
  <mergeCells count="311">
    <mergeCell ref="A243:J243"/>
    <mergeCell ref="A240:D240"/>
    <mergeCell ref="A241:D241"/>
    <mergeCell ref="A155:D155"/>
    <mergeCell ref="A129:G129"/>
    <mergeCell ref="A130:G130"/>
    <mergeCell ref="A131:G131"/>
    <mergeCell ref="A141:G141"/>
    <mergeCell ref="A142:G142"/>
    <mergeCell ref="A143:G143"/>
    <mergeCell ref="A144:G144"/>
    <mergeCell ref="A132:G132"/>
    <mergeCell ref="A133:G133"/>
    <mergeCell ref="A134:G134"/>
    <mergeCell ref="A135:G135"/>
    <mergeCell ref="A136:G136"/>
    <mergeCell ref="A137:G137"/>
    <mergeCell ref="A138:G138"/>
    <mergeCell ref="A139:G139"/>
    <mergeCell ref="A140:G140"/>
    <mergeCell ref="A152:D152"/>
    <mergeCell ref="A151:D151"/>
    <mergeCell ref="G240:H240"/>
    <mergeCell ref="G226:I226"/>
    <mergeCell ref="A114:G114"/>
    <mergeCell ref="A115:G115"/>
    <mergeCell ref="A116:G116"/>
    <mergeCell ref="A117:G117"/>
    <mergeCell ref="A118:G118"/>
    <mergeCell ref="A119:G119"/>
    <mergeCell ref="A120:G120"/>
    <mergeCell ref="E241:F241"/>
    <mergeCell ref="A121:G121"/>
    <mergeCell ref="A122:G122"/>
    <mergeCell ref="A123:G123"/>
    <mergeCell ref="A124:G124"/>
    <mergeCell ref="A125:G125"/>
    <mergeCell ref="A126:G126"/>
    <mergeCell ref="A127:G127"/>
    <mergeCell ref="A128:G128"/>
    <mergeCell ref="A154:D154"/>
    <mergeCell ref="G236:I236"/>
    <mergeCell ref="G238:I238"/>
    <mergeCell ref="E221:F221"/>
    <mergeCell ref="A219:D219"/>
    <mergeCell ref="F173:I173"/>
    <mergeCell ref="A176:E176"/>
    <mergeCell ref="A177:E177"/>
    <mergeCell ref="A105:G105"/>
    <mergeCell ref="A106:G106"/>
    <mergeCell ref="A107:G107"/>
    <mergeCell ref="A108:G108"/>
    <mergeCell ref="A109:G109"/>
    <mergeCell ref="A110:G110"/>
    <mergeCell ref="A111:G111"/>
    <mergeCell ref="A112:G112"/>
    <mergeCell ref="A113:G113"/>
    <mergeCell ref="G328:I328"/>
    <mergeCell ref="G302:I302"/>
    <mergeCell ref="E275:F275"/>
    <mergeCell ref="G316:I316"/>
    <mergeCell ref="A80:G80"/>
    <mergeCell ref="A81:G81"/>
    <mergeCell ref="A82:G82"/>
    <mergeCell ref="A83:G83"/>
    <mergeCell ref="A84:G84"/>
    <mergeCell ref="A85:G85"/>
    <mergeCell ref="A86:G86"/>
    <mergeCell ref="A87:G87"/>
    <mergeCell ref="A88:G88"/>
    <mergeCell ref="A89:G89"/>
    <mergeCell ref="A90:G90"/>
    <mergeCell ref="A91:G91"/>
    <mergeCell ref="A92:G92"/>
    <mergeCell ref="A93:G93"/>
    <mergeCell ref="A94:G94"/>
    <mergeCell ref="A95:G95"/>
    <mergeCell ref="A96:G96"/>
    <mergeCell ref="A97:G97"/>
    <mergeCell ref="A98:G98"/>
    <mergeCell ref="A99:G99"/>
    <mergeCell ref="E290:F290"/>
    <mergeCell ref="E291:F291"/>
    <mergeCell ref="E292:F292"/>
    <mergeCell ref="G317:I317"/>
    <mergeCell ref="A253:D253"/>
    <mergeCell ref="B261:I261"/>
    <mergeCell ref="G324:I324"/>
    <mergeCell ref="G329:I329"/>
    <mergeCell ref="G325:I325"/>
    <mergeCell ref="G327:I327"/>
    <mergeCell ref="E264:F264"/>
    <mergeCell ref="A311:I311"/>
    <mergeCell ref="A329:C329"/>
    <mergeCell ref="A325:C325"/>
    <mergeCell ref="A328:C328"/>
    <mergeCell ref="A327:C327"/>
    <mergeCell ref="A316:C316"/>
    <mergeCell ref="A317:C317"/>
    <mergeCell ref="A318:C318"/>
    <mergeCell ref="A321:C321"/>
    <mergeCell ref="G322:I322"/>
    <mergeCell ref="A322:C322"/>
    <mergeCell ref="A323:C323"/>
    <mergeCell ref="A324:C324"/>
    <mergeCell ref="E278:F278"/>
    <mergeCell ref="E279:F279"/>
    <mergeCell ref="E280:F280"/>
    <mergeCell ref="E281:F281"/>
    <mergeCell ref="A331:I331"/>
    <mergeCell ref="E276:F276"/>
    <mergeCell ref="E265:F265"/>
    <mergeCell ref="E266:F266"/>
    <mergeCell ref="E267:F267"/>
    <mergeCell ref="E268:F268"/>
    <mergeCell ref="E269:F269"/>
    <mergeCell ref="E270:F270"/>
    <mergeCell ref="G318:I318"/>
    <mergeCell ref="G321:I321"/>
    <mergeCell ref="G319:I319"/>
    <mergeCell ref="G320:I320"/>
    <mergeCell ref="G326:I326"/>
    <mergeCell ref="A303:E303"/>
    <mergeCell ref="A304:E304"/>
    <mergeCell ref="G301:I301"/>
    <mergeCell ref="E282:F282"/>
    <mergeCell ref="E271:F271"/>
    <mergeCell ref="E272:F272"/>
    <mergeCell ref="E289:F289"/>
    <mergeCell ref="A232:D232"/>
    <mergeCell ref="A234:D234"/>
    <mergeCell ref="A235:D235"/>
    <mergeCell ref="A230:D230"/>
    <mergeCell ref="A231:D231"/>
    <mergeCell ref="A237:D237"/>
    <mergeCell ref="A236:D236"/>
    <mergeCell ref="A238:D238"/>
    <mergeCell ref="E231:F231"/>
    <mergeCell ref="A307:E307"/>
    <mergeCell ref="G306:I306"/>
    <mergeCell ref="G307:I307"/>
    <mergeCell ref="A319:C319"/>
    <mergeCell ref="A320:C320"/>
    <mergeCell ref="G305:I305"/>
    <mergeCell ref="A242:D242"/>
    <mergeCell ref="H260:I260"/>
    <mergeCell ref="A252:D252"/>
    <mergeCell ref="E273:F273"/>
    <mergeCell ref="E274:F274"/>
    <mergeCell ref="E262:F262"/>
    <mergeCell ref="A246:D246"/>
    <mergeCell ref="A247:D247"/>
    <mergeCell ref="A248:D248"/>
    <mergeCell ref="A249:D249"/>
    <mergeCell ref="A250:D250"/>
    <mergeCell ref="A251:D251"/>
    <mergeCell ref="G303:I303"/>
    <mergeCell ref="G304:I304"/>
    <mergeCell ref="A302:E302"/>
    <mergeCell ref="E293:F293"/>
    <mergeCell ref="E294:F294"/>
    <mergeCell ref="E277:F277"/>
    <mergeCell ref="G228:I228"/>
    <mergeCell ref="G220:H220"/>
    <mergeCell ref="G230:H230"/>
    <mergeCell ref="G237:I237"/>
    <mergeCell ref="A239:D239"/>
    <mergeCell ref="A229:D229"/>
    <mergeCell ref="G323:I323"/>
    <mergeCell ref="A326:C326"/>
    <mergeCell ref="A301:E301"/>
    <mergeCell ref="B296:C296"/>
    <mergeCell ref="E283:F283"/>
    <mergeCell ref="E284:F284"/>
    <mergeCell ref="E285:F285"/>
    <mergeCell ref="E286:F286"/>
    <mergeCell ref="E287:F287"/>
    <mergeCell ref="E288:F288"/>
    <mergeCell ref="A305:E305"/>
    <mergeCell ref="A299:E299"/>
    <mergeCell ref="A300:E300"/>
    <mergeCell ref="A314:C314"/>
    <mergeCell ref="A315:C315"/>
    <mergeCell ref="G314:I314"/>
    <mergeCell ref="G315:I315"/>
    <mergeCell ref="A306:E306"/>
    <mergeCell ref="A26:I26"/>
    <mergeCell ref="E28:F28"/>
    <mergeCell ref="E27:F27"/>
    <mergeCell ref="E29:F29"/>
    <mergeCell ref="A25:H25"/>
    <mergeCell ref="F34:H34"/>
    <mergeCell ref="E313:I313"/>
    <mergeCell ref="H310:I310"/>
    <mergeCell ref="A207:D207"/>
    <mergeCell ref="A214:D214"/>
    <mergeCell ref="A210:D210"/>
    <mergeCell ref="A211:D211"/>
    <mergeCell ref="A221:D221"/>
    <mergeCell ref="A228:D228"/>
    <mergeCell ref="A208:D208"/>
    <mergeCell ref="G217:I217"/>
    <mergeCell ref="A227:D227"/>
    <mergeCell ref="G227:I227"/>
    <mergeCell ref="A225:D225"/>
    <mergeCell ref="A226:D226"/>
    <mergeCell ref="A222:D222"/>
    <mergeCell ref="A224:D224"/>
    <mergeCell ref="A220:D220"/>
    <mergeCell ref="G218:I218"/>
    <mergeCell ref="A31:D31"/>
    <mergeCell ref="A41:D41"/>
    <mergeCell ref="E41:F41"/>
    <mergeCell ref="A39:D39"/>
    <mergeCell ref="A36:D36"/>
    <mergeCell ref="E31:F31"/>
    <mergeCell ref="E30:F30"/>
    <mergeCell ref="A34:D34"/>
    <mergeCell ref="B13:I13"/>
    <mergeCell ref="B14:I14"/>
    <mergeCell ref="B15:I15"/>
    <mergeCell ref="B16:I16"/>
    <mergeCell ref="B17:I17"/>
    <mergeCell ref="B18:I18"/>
    <mergeCell ref="F40:I40"/>
    <mergeCell ref="A32:D32"/>
    <mergeCell ref="A33:D33"/>
    <mergeCell ref="F32:H32"/>
    <mergeCell ref="F33:H33"/>
    <mergeCell ref="A27:D27"/>
    <mergeCell ref="A29:D29"/>
    <mergeCell ref="A30:D30"/>
    <mergeCell ref="H21:I21"/>
    <mergeCell ref="A28:D28"/>
    <mergeCell ref="A64:G64"/>
    <mergeCell ref="A65:G65"/>
    <mergeCell ref="A66:G66"/>
    <mergeCell ref="A67:G67"/>
    <mergeCell ref="A68:G68"/>
    <mergeCell ref="A69:G69"/>
    <mergeCell ref="A70:G70"/>
    <mergeCell ref="A35:D35"/>
    <mergeCell ref="F35:H35"/>
    <mergeCell ref="A43:D43"/>
    <mergeCell ref="E43:H43"/>
    <mergeCell ref="A74:G74"/>
    <mergeCell ref="A75:G75"/>
    <mergeCell ref="A76:G76"/>
    <mergeCell ref="A77:G77"/>
    <mergeCell ref="A78:G78"/>
    <mergeCell ref="A180:E180"/>
    <mergeCell ref="A181:E181"/>
    <mergeCell ref="A79:G79"/>
    <mergeCell ref="A42:E42"/>
    <mergeCell ref="F42:I42"/>
    <mergeCell ref="A174:E174"/>
    <mergeCell ref="A175:E175"/>
    <mergeCell ref="A45:E45"/>
    <mergeCell ref="F44:I44"/>
    <mergeCell ref="F45:I45"/>
    <mergeCell ref="A149:I149"/>
    <mergeCell ref="A148:I148"/>
    <mergeCell ref="H147:I147"/>
    <mergeCell ref="A44:E44"/>
    <mergeCell ref="A100:G100"/>
    <mergeCell ref="A101:G101"/>
    <mergeCell ref="A102:G102"/>
    <mergeCell ref="A103:G103"/>
    <mergeCell ref="A104:G104"/>
    <mergeCell ref="A157:J157"/>
    <mergeCell ref="F184:I184"/>
    <mergeCell ref="A188:E188"/>
    <mergeCell ref="A189:E189"/>
    <mergeCell ref="A158:E158"/>
    <mergeCell ref="A159:E159"/>
    <mergeCell ref="A160:E160"/>
    <mergeCell ref="A161:E161"/>
    <mergeCell ref="A71:G71"/>
    <mergeCell ref="A183:E183"/>
    <mergeCell ref="A164:E164"/>
    <mergeCell ref="A165:E165"/>
    <mergeCell ref="A166:E166"/>
    <mergeCell ref="A169:E169"/>
    <mergeCell ref="A170:E170"/>
    <mergeCell ref="A171:E171"/>
    <mergeCell ref="A172:E172"/>
    <mergeCell ref="A173:E173"/>
    <mergeCell ref="A167:E167"/>
    <mergeCell ref="A162:E162"/>
    <mergeCell ref="A163:E163"/>
    <mergeCell ref="A178:E178"/>
    <mergeCell ref="A72:G72"/>
    <mergeCell ref="A73:G73"/>
    <mergeCell ref="A218:D218"/>
    <mergeCell ref="F162:I162"/>
    <mergeCell ref="A212:J212"/>
    <mergeCell ref="A184:E184"/>
    <mergeCell ref="A202:D202"/>
    <mergeCell ref="A204:D204"/>
    <mergeCell ref="A206:D206"/>
    <mergeCell ref="A205:D205"/>
    <mergeCell ref="A203:D203"/>
    <mergeCell ref="A216:D216"/>
    <mergeCell ref="A217:D217"/>
    <mergeCell ref="G216:I216"/>
    <mergeCell ref="A209:D209"/>
    <mergeCell ref="A185:E185"/>
    <mergeCell ref="A186:E186"/>
    <mergeCell ref="A187:E187"/>
    <mergeCell ref="A215:D215"/>
    <mergeCell ref="A182:E182"/>
  </mergeCells>
  <phoneticPr fontId="0" type="noConversion"/>
  <conditionalFormatting sqref="A145 G145:I145">
    <cfRule type="expression" dxfId="68" priority="63" stopIfTrue="1">
      <formula>$P145="BG"</formula>
    </cfRule>
    <cfRule type="expression" dxfId="67" priority="62" stopIfTrue="1">
      <formula>$P145="B"</formula>
    </cfRule>
  </conditionalFormatting>
  <conditionalFormatting sqref="A264:A294">
    <cfRule type="expression" dxfId="66" priority="72" stopIfTrue="1">
      <formula>WEEKDAY(A264,2)&gt;5</formula>
    </cfRule>
    <cfRule type="expression" dxfId="65" priority="71" stopIfTrue="1">
      <formula>R264=1</formula>
    </cfRule>
  </conditionalFormatting>
  <conditionalFormatting sqref="A216:D216">
    <cfRule type="expression" dxfId="64" priority="53" stopIfTrue="1">
      <formula>$O216&lt;1</formula>
    </cfRule>
  </conditionalFormatting>
  <conditionalFormatting sqref="A217:D217">
    <cfRule type="expression" dxfId="63" priority="52">
      <formula>$S$216=9</formula>
    </cfRule>
  </conditionalFormatting>
  <conditionalFormatting sqref="A217:D225 E213:I220 E222:I230 A234:I240 F154:J154 A155 F155:I155 A202:I211 A212 A213:D215 E221 G221:I221 E231 G231:I232 A241:E241 G241:I241 A242:I242 A244:I258 A315:I329">
    <cfRule type="expression" dxfId="62" priority="58" stopIfTrue="1">
      <formula>$O154&lt;1</formula>
    </cfRule>
  </conditionalFormatting>
  <conditionalFormatting sqref="A226:D232">
    <cfRule type="expression" dxfId="61" priority="4" stopIfTrue="1">
      <formula>$O226&lt;1</formula>
    </cfRule>
  </conditionalFormatting>
  <conditionalFormatting sqref="A227:D227">
    <cfRule type="expression" dxfId="60" priority="3">
      <formula>$S$226=9</formula>
    </cfRule>
  </conditionalFormatting>
  <conditionalFormatting sqref="A236:D236">
    <cfRule type="expression" dxfId="59" priority="45" stopIfTrue="1">
      <formula>$O236&lt;1</formula>
    </cfRule>
  </conditionalFormatting>
  <conditionalFormatting sqref="A237:D237">
    <cfRule type="expression" dxfId="58" priority="44">
      <formula>$S$216=9</formula>
    </cfRule>
  </conditionalFormatting>
  <conditionalFormatting sqref="A237:D242 A243">
    <cfRule type="expression" dxfId="57" priority="46" stopIfTrue="1">
      <formula>$O237&lt;1</formula>
    </cfRule>
  </conditionalFormatting>
  <conditionalFormatting sqref="A190:E191">
    <cfRule type="expression" dxfId="56" priority="315" stopIfTrue="1">
      <formula>$O188&lt;1</formula>
    </cfRule>
  </conditionalFormatting>
  <conditionalFormatting sqref="A192:E193">
    <cfRule type="expression" dxfId="55" priority="425" stopIfTrue="1">
      <formula>$O189&lt;1</formula>
    </cfRule>
  </conditionalFormatting>
  <conditionalFormatting sqref="A194:E198">
    <cfRule type="expression" dxfId="54" priority="54" stopIfTrue="1">
      <formula>$O193&lt;1</formula>
    </cfRule>
  </conditionalFormatting>
  <conditionalFormatting sqref="A28:I30">
    <cfRule type="expression" dxfId="53" priority="80" stopIfTrue="1">
      <formula>NOT(VLOOKUP($I$25,A_JaNein_Auswahl,2)=2)</formula>
    </cfRule>
  </conditionalFormatting>
  <conditionalFormatting sqref="A28:I45">
    <cfRule type="expression" dxfId="52" priority="81" stopIfTrue="1">
      <formula>NOT($Q$24)</formula>
    </cfRule>
  </conditionalFormatting>
  <conditionalFormatting sqref="A34:I34">
    <cfRule type="expression" dxfId="51" priority="86" stopIfTrue="1">
      <formula>NOT($Q$213)</formula>
    </cfRule>
  </conditionalFormatting>
  <conditionalFormatting sqref="A35:I35">
    <cfRule type="expression" dxfId="50" priority="88" stopIfTrue="1">
      <formula>NOT($Q$213)</formula>
    </cfRule>
  </conditionalFormatting>
  <conditionalFormatting sqref="A63:J144">
    <cfRule type="expression" dxfId="49" priority="13" stopIfTrue="1">
      <formula>$P63="BG"</formula>
    </cfRule>
    <cfRule type="expression" dxfId="48" priority="12" stopIfTrue="1">
      <formula>$P63="B"</formula>
    </cfRule>
    <cfRule type="expression" dxfId="47" priority="14" stopIfTrue="1">
      <formula>$P63="K"</formula>
    </cfRule>
  </conditionalFormatting>
  <conditionalFormatting sqref="B264:D294">
    <cfRule type="expression" dxfId="46" priority="153" stopIfTrue="1">
      <formula>AND($AE264&gt;3,$BU264=1)</formula>
    </cfRule>
  </conditionalFormatting>
  <conditionalFormatting sqref="B264:F294">
    <cfRule type="expression" dxfId="45" priority="30" stopIfTrue="1">
      <formula>$AE264=3</formula>
    </cfRule>
    <cfRule type="expression" dxfId="44" priority="32" stopIfTrue="1">
      <formula>OR($AE264=1,$AE264=2,$R264=1)</formula>
    </cfRule>
  </conditionalFormatting>
  <conditionalFormatting sqref="E154:E155">
    <cfRule type="expression" dxfId="43" priority="7" stopIfTrue="1">
      <formula>$O154&lt;1</formula>
    </cfRule>
  </conditionalFormatting>
  <conditionalFormatting sqref="E313">
    <cfRule type="expression" dxfId="42" priority="8">
      <formula>OR(D315="Ja",D315="Oui",D316="Ja",D316="Oui")</formula>
    </cfRule>
  </conditionalFormatting>
  <conditionalFormatting sqref="E264:F294">
    <cfRule type="expression" dxfId="41" priority="31" stopIfTrue="1">
      <formula>OR($AE264&gt;3,$AC264=1)</formula>
    </cfRule>
  </conditionalFormatting>
  <conditionalFormatting sqref="F161">
    <cfRule type="expression" dxfId="40" priority="2" stopIfTrue="1">
      <formula>$O161&lt;1</formula>
    </cfRule>
    <cfRule type="expression" dxfId="39" priority="1">
      <formula>S216=9</formula>
    </cfRule>
  </conditionalFormatting>
  <conditionalFormatting sqref="F161:F162">
    <cfRule type="expression" dxfId="38" priority="27">
      <formula>S216=9</formula>
    </cfRule>
  </conditionalFormatting>
  <conditionalFormatting sqref="F172">
    <cfRule type="expression" dxfId="37" priority="26" stopIfTrue="1">
      <formula>$O172&lt;1</formula>
    </cfRule>
    <cfRule type="expression" dxfId="36" priority="25">
      <formula>S225=9</formula>
    </cfRule>
  </conditionalFormatting>
  <conditionalFormatting sqref="F173">
    <cfRule type="expression" dxfId="35" priority="21" stopIfTrue="1">
      <formula>$O173&lt;1</formula>
    </cfRule>
    <cfRule type="expression" dxfId="34" priority="20">
      <formula>S229=9</formula>
    </cfRule>
  </conditionalFormatting>
  <conditionalFormatting sqref="F183">
    <cfRule type="expression" dxfId="33" priority="23">
      <formula>S236=9</formula>
    </cfRule>
  </conditionalFormatting>
  <conditionalFormatting sqref="F184">
    <cfRule type="expression" dxfId="32" priority="19" stopIfTrue="1">
      <formula>$O184&lt;1</formula>
    </cfRule>
    <cfRule type="expression" dxfId="31" priority="18">
      <formula>S241=9</formula>
    </cfRule>
  </conditionalFormatting>
  <conditionalFormatting sqref="F158:I161 F162 F163:I172 A158:E168 A170:E179 A181:E189 F185:I198">
    <cfRule type="expression" dxfId="30" priority="28" stopIfTrue="1">
      <formula>$O158&lt;1</formula>
    </cfRule>
  </conditionalFormatting>
  <conditionalFormatting sqref="F174:I182">
    <cfRule type="expression" dxfId="29" priority="22" stopIfTrue="1">
      <formula>$O174&lt;1</formula>
    </cfRule>
  </conditionalFormatting>
  <conditionalFormatting sqref="F183:I183 E232:F232">
    <cfRule type="expression" dxfId="28" priority="24" stopIfTrue="1">
      <formula>$O184&lt;1</formula>
    </cfRule>
  </conditionalFormatting>
  <conditionalFormatting sqref="F315:I329">
    <cfRule type="expression" dxfId="27" priority="349" stopIfTrue="1">
      <formula>NOT(VLOOKUP($D315,A_JaNein_Auswahl,2,0)=1)</formula>
    </cfRule>
  </conditionalFormatting>
  <conditionalFormatting sqref="G217:I217">
    <cfRule type="expression" dxfId="26" priority="51">
      <formula>$O217&gt;1</formula>
    </cfRule>
  </conditionalFormatting>
  <conditionalFormatting sqref="G227:I227">
    <cfRule type="expression" dxfId="25" priority="47">
      <formula>$O227&gt;1</formula>
    </cfRule>
  </conditionalFormatting>
  <conditionalFormatting sqref="G237:I237">
    <cfRule type="expression" dxfId="24" priority="43">
      <formula>$O237&gt;1</formula>
    </cfRule>
  </conditionalFormatting>
  <conditionalFormatting sqref="G264:I294">
    <cfRule type="expression" dxfId="23" priority="16" stopIfTrue="1">
      <formula>OR($AE264=1,$AE264=2,$R264=1)</formula>
    </cfRule>
  </conditionalFormatting>
  <conditionalFormatting sqref="G295:I295">
    <cfRule type="expression" dxfId="22" priority="17" stopIfTrue="1">
      <formula>SUM($G$295:$I$295)&gt;0</formula>
    </cfRule>
  </conditionalFormatting>
  <conditionalFormatting sqref="I23:I24 A23:H27 I26:I27">
    <cfRule type="expression" dxfId="21" priority="82" stopIfTrue="1">
      <formula>NOT($Q$24)</formula>
    </cfRule>
  </conditionalFormatting>
  <conditionalFormatting sqref="I25">
    <cfRule type="expression" dxfId="20" priority="89" stopIfTrue="1">
      <formula>NOT($Q$24)</formula>
    </cfRule>
  </conditionalFormatting>
  <conditionalFormatting sqref="I32">
    <cfRule type="expression" dxfId="19" priority="84" stopIfTrue="1">
      <formula>NOT($Q$32)</formula>
    </cfRule>
  </conditionalFormatting>
  <conditionalFormatting sqref="I37">
    <cfRule type="expression" dxfId="18" priority="93" stopIfTrue="1">
      <formula>NOT($O$37=1)</formula>
    </cfRule>
  </conditionalFormatting>
  <conditionalFormatting sqref="I38">
    <cfRule type="expression" dxfId="17" priority="91" stopIfTrue="1">
      <formula>NOT($O$38=1)</formula>
    </cfRule>
  </conditionalFormatting>
  <conditionalFormatting sqref="J262:J295">
    <cfRule type="expression" dxfId="16" priority="79" stopIfTrue="1">
      <formula>SUM($G$295:$I$295)&gt;0</formula>
    </cfRule>
  </conditionalFormatting>
  <conditionalFormatting sqref="U264:AE294 BI264:BS294 CA264:CD294 CF264:CF294 CO264:CY294 DA264:DD294 CE264:CE295">
    <cfRule type="cellIs" dxfId="15" priority="75" stopIfTrue="1" operator="equal">
      <formula>0</formula>
    </cfRule>
  </conditionalFormatting>
  <conditionalFormatting sqref="AF264:AF294">
    <cfRule type="expression" dxfId="14" priority="55" stopIfTrue="1">
      <formula>$AE264=3</formula>
    </cfRule>
    <cfRule type="expression" dxfId="13" priority="57" stopIfTrue="1">
      <formula>$AE264&gt;3</formula>
    </cfRule>
    <cfRule type="expression" dxfId="12" priority="56" stopIfTrue="1">
      <formula>OR($AE264=1,$AE264=2)</formula>
    </cfRule>
  </conditionalFormatting>
  <conditionalFormatting sqref="DJ263:DK294 DI264:DI294 DL264:DM294">
    <cfRule type="cellIs" dxfId="11" priority="29" stopIfTrue="1" operator="equal">
      <formula>0</formula>
    </cfRule>
  </conditionalFormatting>
  <dataValidations count="11">
    <dataValidation type="date" allowBlank="1" showInputMessage="1" showErrorMessage="1" sqref="I232" xr:uid="{00000000-0002-0000-0D00-000001000000}">
      <formula1>I231</formula1>
      <formula2>I226</formula2>
    </dataValidation>
    <dataValidation type="whole" allowBlank="1" showInputMessage="1" showErrorMessage="1" sqref="D264:D294" xr:uid="{00000000-0002-0000-0D00-000002000000}">
      <formula1>0</formula1>
      <formula2>S264</formula2>
    </dataValidation>
    <dataValidation type="date" operator="greaterThanOrEqual" allowBlank="1" showInputMessage="1" showErrorMessage="1" sqref="I225 I215 I235" xr:uid="{00000000-0002-0000-0D00-000003000000}">
      <formula1>I214</formula1>
    </dataValidation>
    <dataValidation type="date" operator="greaterThanOrEqual" allowBlank="1" showInputMessage="1" showErrorMessage="1" sqref="I23" xr:uid="{00000000-0002-0000-0D00-000004000000}">
      <formula1>H21</formula1>
    </dataValidation>
    <dataValidation type="list" allowBlank="1" showInputMessage="1" showErrorMessage="1" sqref="AI25:AI26 I25:I26 D315:D329" xr:uid="{00000000-0002-0000-0D00-000005000000}">
      <formula1>L_JaNein</formula1>
    </dataValidation>
    <dataValidation type="textLength" allowBlank="1" showInputMessage="1" showErrorMessage="1" sqref="G315:I329" xr:uid="{00000000-0002-0000-0D00-000006000000}">
      <formula1>0</formula1>
      <formula2>32</formula2>
    </dataValidation>
    <dataValidation type="list" allowBlank="1" showInputMessage="1" showErrorMessage="1" sqref="G228 G218 G238" xr:uid="{00000000-0002-0000-0D00-000007000000}">
      <formula1>L_Rückfall</formula1>
    </dataValidation>
    <dataValidation type="list" allowBlank="1" showInputMessage="1" showErrorMessage="1" sqref="G216 G226 G236" xr:uid="{00000000-0002-0000-0D00-000008000000}">
      <formula1>L_Arbeitsunfähigkeit_Grund</formula1>
    </dataValidation>
    <dataValidation type="list" allowBlank="1" showInputMessage="1" showErrorMessage="1" sqref="G227:I227 G217:I217 G237:I237" xr:uid="{00000000-0002-0000-0D00-000009000000}">
      <formula1>L_ArtUnfall</formula1>
    </dataValidation>
    <dataValidation type="textLength" allowBlank="1" showInputMessage="1" showErrorMessage="1" sqref="F40:I40 F44:I45 F42:I42" xr:uid="{00000000-0002-0000-0D00-00000A000000}">
      <formula1>0</formula1>
      <formula2>40</formula2>
    </dataValidation>
    <dataValidation type="custom" allowBlank="1" showInputMessage="1" showErrorMessage="1" sqref="E264:F294" xr:uid="{00000000-0002-0000-0D00-00000B000000}">
      <formula1>NOT(U264=1)</formula1>
    </dataValidation>
  </dataValidations>
  <hyperlinks>
    <hyperlink ref="B13:I13" location="Linkziel_M_Eingaben" display="Monatlliche Abrechnung: Geben Sie hier die Informationen ein, um die Lohnabrechnung für diesen Monat zu erstellen" xr:uid="{00000000-0004-0000-0D00-000000000000}"/>
    <hyperlink ref="B18:I18" location="Linkziel_M_Korrekturen" display="Korrekturen: Wenn Sie Korrekturen zu einer früheren Lohnabrechnung machen müssen, können Sie diese hier eingeben" xr:uid="{00000000-0004-0000-0D00-000001000000}"/>
    <hyperlink ref="B17:I17" location="Linkziel_M_Einsatzrapport" display="Einsatzrapport: Wenn Sie einen Einsatzrapport führen wollen, können Sie hier die Arbeitszeit pro Tag erfassen" xr:uid="{00000000-0004-0000-0D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D00-000003000000}"/>
    <hyperlink ref="B15:I15" location="Linkziel_M_ASTeK" display="Verrechnung Assistenzbeitrag: Hier finden Sie die Daten für den Übertrag ins ASTeK (bzw. für das Rechnungsformular Assistenzbeitrag, falls Sie das ASTeK nicht verwenden)" xr:uid="{00000000-0004-0000-0D00-000004000000}"/>
    <hyperlink ref="B14:I14" location="Linkziel_M_Lohnabrechnung" display="Lohnabrechnung zum Ausdrucken" xr:uid="{00000000-0004-0000-0D00-000005000000}"/>
    <hyperlink ref="A5" location="Linkziel_M_Eingaben" display="Linkziel_M_Eingaben" xr:uid="{00000000-0004-0000-0D00-000006000000}"/>
    <hyperlink ref="A6" location="Linkziel_M_Lohnabrechnung" display="Linkziel_M_Lohnabrechnung" xr:uid="{00000000-0004-0000-0D00-000007000000}"/>
    <hyperlink ref="A7" location="Linkziel_M_ASTeK" display="Linkziel_M_ASTeK" xr:uid="{00000000-0004-0000-0D00-000008000000}"/>
    <hyperlink ref="F5" location="Linkziel_M_Abwesenheiten" display="Linkziel_M_Abwesenheiten" xr:uid="{00000000-0004-0000-0D00-000009000000}"/>
    <hyperlink ref="F6" location="Linkziel_M_Einsatzrapport" display="Linkziel_M_Einsatzrapport" xr:uid="{00000000-0004-0000-0D00-00000A000000}"/>
    <hyperlink ref="F7" location="Linkziel_M_Korrekturen" display="Linkziel_M_Korrekturen" xr:uid="{00000000-0004-0000-0D00-00000B000000}"/>
    <hyperlink ref="A16" location="Linkziel_M_Abwesenheiten" display="Linkziel_M_Abwesenheiten" xr:uid="{00000000-0004-0000-0D00-00000C000000}"/>
    <hyperlink ref="A17" location="Linkziel_M_Einsatzrapport" display="Linkziel_M_Einsatzrapport" xr:uid="{00000000-0004-0000-0D00-00000D000000}"/>
    <hyperlink ref="A18" location="Linkziel_M_Korrekturen" display="Linkziel_M_Korrekturen" xr:uid="{00000000-0004-0000-0D00-00000E000000}"/>
    <hyperlink ref="A13" location="Linkziel_M_Eingaben" display="Linkziel_M_Eingaben" xr:uid="{00000000-0004-0000-0D00-00000F000000}"/>
    <hyperlink ref="A14" location="Linkziel_M_Lohnabrechnung" display="Linkziel_M_Lohnabrechnung" xr:uid="{00000000-0004-0000-0D00-000010000000}"/>
    <hyperlink ref="A15" location="Linkziel_M_ASTeK" display="Linkziel_M_ASTeK" xr:uid="{00000000-0004-0000-0D00-000011000000}"/>
    <hyperlink ref="A25:G25" location="Linkziel_M_Einsatzrapport" display="Linkziel_M_Einsatzrapport" xr:uid="{00000000-0004-0000-0D00-000012000000}"/>
    <hyperlink ref="H1:I1" location="Intro!A22" display="zurück zum Intro" xr:uid="{00000000-0004-0000-0D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3" manualBreakCount="3">
    <brk id="198" max="9" man="1"/>
    <brk id="233" max="9" man="1"/>
    <brk id="297" max="8"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outlinePr showOutlineSymbols="0"/>
    <pageSetUpPr fitToPage="1"/>
  </sheetPr>
  <dimension ref="A1:V111"/>
  <sheetViews>
    <sheetView showGridLines="0" showZeros="0" showOutlineSymbols="0" zoomScaleNormal="100" workbookViewId="0">
      <selection activeCell="I4" sqref="I4"/>
    </sheetView>
  </sheetViews>
  <sheetFormatPr baseColWidth="10" defaultColWidth="11.33203125" defaultRowHeight="13.2" outlineLevelCol="1" x14ac:dyDescent="0.25"/>
  <cols>
    <col min="1" max="1" width="20.6640625" style="1" customWidth="1"/>
    <col min="2" max="2" width="35.6640625" style="1" customWidth="1"/>
    <col min="3" max="8" width="11.6640625" style="1" customWidth="1"/>
    <col min="9" max="9" width="12.6640625" style="1" customWidth="1"/>
    <col min="10" max="13" width="11.6640625" style="1" customWidth="1"/>
    <col min="14" max="14" width="12.6640625" style="1" customWidth="1"/>
    <col min="15" max="16" width="11.33203125" style="1"/>
    <col min="17" max="21" width="11.33203125" style="1" hidden="1" customWidth="1" outlineLevel="1"/>
    <col min="22" max="22" width="11.33203125" style="1" collapsed="1"/>
    <col min="23" max="16384" width="11.33203125" style="1"/>
  </cols>
  <sheetData>
    <row r="1" spans="1:12" ht="17.399999999999999" x14ac:dyDescent="0.3">
      <c r="A1" s="533" t="str">
        <f ca="1">INDIRECT(ADDRESS(ROW()+N_Offset_L,COLUMN()+(N_SpracheAuswahl)*26,,,"Text"))</f>
        <v>Lohnabrechnung LAM: Jahresübersicht</v>
      </c>
    </row>
    <row r="4" spans="1:12" s="317" customFormat="1" ht="15.75" customHeight="1" x14ac:dyDescent="0.3">
      <c r="A4" s="323" t="str">
        <f ca="1">INDIRECT(ADDRESS(ROW()+N_Offset_L,COLUMN()+(N_SpracheAuswahl)*26,,,"Text"))</f>
        <v>Angaben für die Erstellung des Lohnausweises</v>
      </c>
      <c r="B4" s="323"/>
      <c r="C4" s="323"/>
      <c r="D4" s="323"/>
      <c r="E4" s="323"/>
      <c r="G4" s="50" t="str">
        <f ca="1">INDIRECT(ADDRESS(ROW()+N_Offset_L,COLUMN()+(N_SpracheAuswahl)*26,,,"Text"))</f>
        <v>Kalenderjahr:</v>
      </c>
      <c r="H4" s="50"/>
      <c r="I4" s="8">
        <f>N_Abrechnungsjahr</f>
        <v>2024</v>
      </c>
    </row>
    <row r="5" spans="1:12" x14ac:dyDescent="0.25">
      <c r="A5" s="315"/>
      <c r="B5" s="315"/>
      <c r="C5" s="315"/>
      <c r="D5" s="315"/>
      <c r="E5" s="315"/>
      <c r="F5" s="55"/>
      <c r="G5" s="221" t="str">
        <f ca="1">INDIRECT(ADDRESS(ROW()+N_Offset_L,COLUMN()+(N_SpracheAuswahl)*26,,,"Text"))</f>
        <v>Beginn Lohnperiode:</v>
      </c>
      <c r="H5" s="221"/>
      <c r="I5" s="337">
        <f>MAX(N_Anstellung_Beginn,DATE(I4,1,1))</f>
        <v>45292</v>
      </c>
      <c r="J5" s="55"/>
      <c r="K5" s="55"/>
      <c r="L5" s="55"/>
    </row>
    <row r="6" spans="1:12" x14ac:dyDescent="0.25">
      <c r="A6" s="1" t="str">
        <f ca="1">INDIRECT(ADDRESS(ROW()+N_Offset_L,COLUMN()+(N_SpracheAuswahl)*26,,,"Text"))</f>
        <v>AssistentIn</v>
      </c>
      <c r="B6" s="3" t="str">
        <f>'  B  '!C35&amp;", "&amp;'  B  '!C34</f>
        <v xml:space="preserve">, </v>
      </c>
      <c r="C6" s="3"/>
      <c r="D6" s="3"/>
      <c r="F6" s="55"/>
      <c r="G6" s="221" t="str">
        <f ca="1">INDIRECT(ADDRESS(ROW()+N_Offset_L,COLUMN()+(N_SpracheAuswahl)*26,,,"Text"))</f>
        <v>Ende Lohnperiode:</v>
      </c>
      <c r="H6" s="221"/>
      <c r="I6" s="337">
        <f ca="1">MIN(N_Anstellung_Ende,DATE(I4,12,31))</f>
        <v>45657</v>
      </c>
      <c r="J6" s="55"/>
      <c r="K6" s="55"/>
      <c r="L6" s="55"/>
    </row>
    <row r="7" spans="1:12" x14ac:dyDescent="0.25">
      <c r="B7" s="8" t="str">
        <f>'  B  '!C36&amp;", "&amp;IF('  B  '!C37&lt;&gt;"",'  B  '!C37&amp;", ","")&amp;'  B  '!C38&amp;" "&amp;'  B  '!C39</f>
        <v xml:space="preserve">,  </v>
      </c>
      <c r="C7" s="3"/>
      <c r="D7" s="3"/>
      <c r="F7" s="55"/>
      <c r="G7" s="221" t="str">
        <f ca="1">INDIRECT(ADDRESS(ROW()+N_Offset_L,COLUMN()+(N_SpracheAuswahl)*26,,,"Text"))</f>
        <v>Versichertennummer:</v>
      </c>
      <c r="H7" s="221"/>
      <c r="I7" s="221" t="str">
        <f>'  B  '!C40</f>
        <v/>
      </c>
      <c r="J7" s="55"/>
      <c r="K7" s="55"/>
      <c r="L7" s="55"/>
    </row>
    <row r="8" spans="1:12" ht="15" x14ac:dyDescent="0.25">
      <c r="A8" s="317"/>
      <c r="D8" s="316"/>
      <c r="H8" s="2"/>
      <c r="L8" s="55"/>
    </row>
    <row r="9" spans="1:12" x14ac:dyDescent="0.25">
      <c r="A9" s="986" t="str">
        <f t="shared" ref="A9:G9" ca="1" si="0">INDIRECT(ADDRESS(ROW()+N_Offset_L,COLUMN()+(N_SpracheAuswahl)*26,,,"Text"))</f>
        <v>1. Lohn (wenn keine weiteren Leistungen dazukommen, tragen Sie diesen Betrag ebenfalls unter Punkt 8, Bruttolohn total ein.)</v>
      </c>
      <c r="B9" s="986">
        <f t="shared" ca="1" si="0"/>
        <v>0</v>
      </c>
      <c r="C9" s="986">
        <f t="shared" ca="1" si="0"/>
        <v>0</v>
      </c>
      <c r="D9" s="986">
        <f t="shared" ca="1" si="0"/>
        <v>0</v>
      </c>
      <c r="E9" s="986">
        <f t="shared" ca="1" si="0"/>
        <v>0</v>
      </c>
      <c r="F9" s="986">
        <f t="shared" ca="1" si="0"/>
        <v>0</v>
      </c>
      <c r="G9" s="987">
        <f t="shared" ca="1" si="0"/>
        <v>0</v>
      </c>
      <c r="I9" s="331">
        <f ca="1">SUMIF(Q$30:Q$104,1,O$30:O$104)</f>
        <v>0</v>
      </c>
      <c r="L9" s="55"/>
    </row>
    <row r="10" spans="1:12" x14ac:dyDescent="0.25">
      <c r="A10" s="325" t="str">
        <f ca="1">INDIRECT(ADDRESS(ROW()+N_Offset_L,COLUMN()+(N_SpracheAuswahl)*26,,,"Text"))</f>
        <v>2. Gehaltsnebenleistungen, 2.1. Verpflegung, Unterkunft</v>
      </c>
      <c r="B10" s="385"/>
      <c r="C10" s="385"/>
      <c r="D10" s="385"/>
      <c r="E10" s="385"/>
      <c r="F10" s="385"/>
      <c r="I10" s="331">
        <f ca="1">SUMIF(Q$30:Q$104,2,O$30:O$104)</f>
        <v>0</v>
      </c>
      <c r="L10" s="55"/>
    </row>
    <row r="11" spans="1:12" x14ac:dyDescent="0.25">
      <c r="A11" s="325" t="str">
        <f ca="1">INDIRECT(ADDRESS(ROW()+N_Offset_L,COLUMN()+(N_SpracheAuswahl)*26,,,"Text"))</f>
        <v>9. Beiträge AHV/IV/EO/ALV/NBUV</v>
      </c>
      <c r="B11" s="318"/>
      <c r="I11" s="331">
        <f ca="1">SUMIF(Q$30:Q$104,9,O$30:O$104)</f>
        <v>0</v>
      </c>
      <c r="L11" s="55"/>
    </row>
    <row r="12" spans="1:12" s="96" customFormat="1" x14ac:dyDescent="0.25">
      <c r="A12" s="325" t="str">
        <f ca="1">INDIRECT(ADDRESS(ROW()+N_Offset_L,COLUMN()+(N_SpracheAuswahl)*26,,,"Text"))</f>
        <v>10. Berufliche Vorsorge</v>
      </c>
      <c r="B12" s="318"/>
      <c r="C12" s="1"/>
      <c r="D12" s="1"/>
      <c r="E12" s="1"/>
      <c r="I12" s="331">
        <f ca="1">SUMIF(Q$30:Q$104,10,O$30:O$104)</f>
        <v>0</v>
      </c>
      <c r="L12" s="87"/>
    </row>
    <row r="13" spans="1:12" x14ac:dyDescent="0.25">
      <c r="A13" s="325" t="str">
        <f ca="1">INDIRECT(ADDRESS(ROW()+N_Offset_L,COLUMN()+(N_SpracheAuswahl)*26,,,"Text"))</f>
        <v>11. Nettolohn</v>
      </c>
      <c r="B13" s="318"/>
      <c r="I13" s="331">
        <f ca="1">I9+I10+I11+I12</f>
        <v>0</v>
      </c>
      <c r="K13" s="96"/>
      <c r="L13" s="55"/>
    </row>
    <row r="14" spans="1:12" x14ac:dyDescent="0.25">
      <c r="A14" s="325" t="str">
        <f ca="1">INDIRECT(ADDRESS(ROW()+N_Offset_L,COLUMN()+(N_SpracheAuswahl)*26,,,"Text"))</f>
        <v>12. Quellensteuerabzug</v>
      </c>
      <c r="B14" s="318"/>
      <c r="I14" s="331">
        <f ca="1">SUMIF(Q$30:Q$104,12,O$30:O$104)</f>
        <v>0</v>
      </c>
      <c r="L14" s="87"/>
    </row>
    <row r="15" spans="1:12" s="96" customFormat="1" x14ac:dyDescent="0.25">
      <c r="A15" s="324"/>
      <c r="B15" s="8"/>
      <c r="C15" s="8"/>
      <c r="D15" s="8"/>
      <c r="E15" s="8"/>
      <c r="F15" s="8"/>
      <c r="G15" s="8"/>
      <c r="H15" s="8"/>
      <c r="I15" s="332"/>
      <c r="L15" s="87"/>
    </row>
    <row r="16" spans="1:12" s="317" customFormat="1" ht="15" customHeight="1" x14ac:dyDescent="0.25">
      <c r="A16" s="3" t="str">
        <f t="shared" ref="A16:A21" ca="1" si="1">INDIRECT(ADDRESS(ROW()+N_Offset_L,COLUMN()+(N_SpracheAuswahl)*26,,,"Text"))</f>
        <v xml:space="preserve">Quellensteuer </v>
      </c>
      <c r="I16" s="333"/>
      <c r="L16" s="327"/>
    </row>
    <row r="17" spans="1:17" x14ac:dyDescent="0.25">
      <c r="A17" s="8" t="str">
        <f t="shared" ca="1" si="1"/>
        <v>1. Quartal</v>
      </c>
      <c r="B17" s="326"/>
      <c r="C17" s="8"/>
      <c r="D17" s="8"/>
      <c r="E17" s="8"/>
      <c r="F17" s="8"/>
      <c r="G17" s="8"/>
      <c r="H17" s="8"/>
      <c r="I17" s="332">
        <f ca="1">SUMIF(Q$30:Q$104,12,R$30:R$104)</f>
        <v>0</v>
      </c>
      <c r="L17" s="63"/>
    </row>
    <row r="18" spans="1:17" x14ac:dyDescent="0.25">
      <c r="A18" s="8" t="str">
        <f t="shared" ca="1" si="1"/>
        <v>2. Quartal</v>
      </c>
      <c r="B18" s="326"/>
      <c r="C18" s="8"/>
      <c r="D18" s="8"/>
      <c r="E18" s="8"/>
      <c r="F18" s="8"/>
      <c r="G18" s="8"/>
      <c r="H18" s="8"/>
      <c r="I18" s="332">
        <f ca="1">SUMIF(Q$30:Q$104,12,S$30:S$104)</f>
        <v>0</v>
      </c>
      <c r="L18" s="55"/>
    </row>
    <row r="19" spans="1:17" x14ac:dyDescent="0.25">
      <c r="A19" s="8" t="str">
        <f t="shared" ca="1" si="1"/>
        <v>3. Quartal</v>
      </c>
      <c r="B19" s="326"/>
      <c r="C19" s="8"/>
      <c r="D19" s="8"/>
      <c r="E19" s="8"/>
      <c r="F19" s="8"/>
      <c r="G19" s="8"/>
      <c r="H19" s="8"/>
      <c r="I19" s="332">
        <f ca="1">SUMIF(Q$30:Q$104,12,T$30:T$104)</f>
        <v>0</v>
      </c>
      <c r="L19" s="55"/>
    </row>
    <row r="20" spans="1:17" x14ac:dyDescent="0.25">
      <c r="A20" s="8" t="str">
        <f t="shared" ca="1" si="1"/>
        <v>4. Quartal</v>
      </c>
      <c r="B20" s="326"/>
      <c r="C20" s="8"/>
      <c r="D20" s="8"/>
      <c r="E20" s="8"/>
      <c r="F20" s="8"/>
      <c r="G20" s="8"/>
      <c r="H20" s="8"/>
      <c r="I20" s="331">
        <f ca="1">SUMIF(Q$30:Q$104,12,U$30:U$104)</f>
        <v>0</v>
      </c>
      <c r="L20" s="55"/>
    </row>
    <row r="21" spans="1:17" x14ac:dyDescent="0.25">
      <c r="A21" s="328" t="str">
        <f t="shared" ca="1" si="1"/>
        <v>Total</v>
      </c>
      <c r="B21" s="329"/>
      <c r="C21" s="328"/>
      <c r="D21" s="328"/>
      <c r="E21" s="328"/>
      <c r="F21" s="328"/>
      <c r="G21" s="328"/>
      <c r="H21" s="328"/>
      <c r="I21" s="334">
        <f ca="1">SUM(I17:I20)</f>
        <v>0</v>
      </c>
      <c r="L21" s="55"/>
    </row>
    <row r="22" spans="1:17" s="96" customFormat="1" x14ac:dyDescent="0.25">
      <c r="A22" s="8"/>
      <c r="B22" s="8"/>
      <c r="C22" s="8"/>
      <c r="D22" s="8"/>
      <c r="E22" s="8"/>
      <c r="F22" s="8"/>
      <c r="G22" s="8"/>
      <c r="H22" s="8"/>
      <c r="I22" s="331"/>
      <c r="L22" s="87"/>
    </row>
    <row r="23" spans="1:17" x14ac:dyDescent="0.25">
      <c r="A23" s="3" t="str">
        <f ca="1">INDIRECT(ADDRESS(ROW()+N_Offset_L,COLUMN()+(N_SpracheAuswahl)*26,,,"Text"))</f>
        <v>Kinder- / Ausbildungszulage</v>
      </c>
      <c r="B23" s="318"/>
      <c r="I23" s="332">
        <f ca="1">SUMIF(Q$30:Q$104,"k",O$30:O$104)</f>
        <v>0</v>
      </c>
      <c r="L23" s="55"/>
    </row>
    <row r="24" spans="1:17" x14ac:dyDescent="0.25">
      <c r="A24" s="319"/>
      <c r="L24" s="55"/>
    </row>
    <row r="25" spans="1:17" x14ac:dyDescent="0.25">
      <c r="L25" s="55"/>
    </row>
    <row r="26" spans="1:17" x14ac:dyDescent="0.25">
      <c r="A26" s="8"/>
      <c r="B26" s="8"/>
      <c r="C26" s="8"/>
      <c r="L26" s="55"/>
    </row>
    <row r="27" spans="1:17" s="317" customFormat="1" ht="15.6" x14ac:dyDescent="0.3">
      <c r="A27" s="546" t="str">
        <f ca="1">INDIRECT(ADDRESS(ROW()+N_Offset_L,COLUMN()+(N_SpracheAuswahl)*26,,,"Text"))</f>
        <v>Jahreszusammenstellung</v>
      </c>
      <c r="L27" s="327"/>
      <c r="O27" s="50" t="str">
        <f>'  B  '!C35&amp;", "&amp;'  B  '!C34&amp;" - "&amp;'  B  '!C40</f>
        <v xml:space="preserve">,  - </v>
      </c>
      <c r="P27" s="317" t="s">
        <v>542</v>
      </c>
    </row>
    <row r="28" spans="1:17" x14ac:dyDescent="0.25">
      <c r="L28" s="55"/>
    </row>
    <row r="29" spans="1:17" x14ac:dyDescent="0.25">
      <c r="C29" s="338" t="str">
        <f t="shared" ref="C29:O29" ca="1" si="2">INDIRECT(ADDRESS(ROW()+N_Offset_L,COLUMN()+(N_SpracheAuswahl)*26,,,"Text"))</f>
        <v>Jan</v>
      </c>
      <c r="D29" s="338" t="str">
        <f t="shared" ca="1" si="2"/>
        <v>Feb</v>
      </c>
      <c r="E29" s="338" t="str">
        <f t="shared" ca="1" si="2"/>
        <v>Mrz</v>
      </c>
      <c r="F29" s="338" t="str">
        <f t="shared" ca="1" si="2"/>
        <v>Apr</v>
      </c>
      <c r="G29" s="338" t="str">
        <f t="shared" ca="1" si="2"/>
        <v>Mai</v>
      </c>
      <c r="H29" s="338" t="str">
        <f t="shared" ca="1" si="2"/>
        <v>Jun</v>
      </c>
      <c r="I29" s="338" t="str">
        <f t="shared" ca="1" si="2"/>
        <v>Jul</v>
      </c>
      <c r="J29" s="338" t="str">
        <f t="shared" ca="1" si="2"/>
        <v>Aug</v>
      </c>
      <c r="K29" s="338" t="str">
        <f t="shared" ca="1" si="2"/>
        <v>Sep</v>
      </c>
      <c r="L29" s="338" t="str">
        <f t="shared" ca="1" si="2"/>
        <v>Okt</v>
      </c>
      <c r="M29" s="338" t="str">
        <f t="shared" ca="1" si="2"/>
        <v>Nov</v>
      </c>
      <c r="N29" s="338" t="str">
        <f t="shared" ca="1" si="2"/>
        <v>Dez</v>
      </c>
      <c r="O29" s="338" t="str">
        <f t="shared" ca="1" si="2"/>
        <v>Total</v>
      </c>
    </row>
    <row r="30" spans="1:17" x14ac:dyDescent="0.25">
      <c r="A30" s="527" t="str">
        <f ca="1">' 01 '!A373</f>
        <v>Monatslohn</v>
      </c>
      <c r="B30" s="528"/>
      <c r="C30" s="335">
        <f ca="1">' 01 '!$I373</f>
        <v>0</v>
      </c>
      <c r="D30" s="335">
        <f ca="1">' 02 '!$I373</f>
        <v>0</v>
      </c>
      <c r="E30" s="335">
        <f ca="1">' 03 '!$I373</f>
        <v>0</v>
      </c>
      <c r="F30" s="335">
        <f ca="1">' 04 '!$I373</f>
        <v>0</v>
      </c>
      <c r="G30" s="335">
        <f ca="1">' 05 '!$I373</f>
        <v>0</v>
      </c>
      <c r="H30" s="335">
        <f ca="1">' 06 '!$I373</f>
        <v>0</v>
      </c>
      <c r="I30" s="335">
        <f ca="1">' 07 '!$I373</f>
        <v>0</v>
      </c>
      <c r="J30" s="335">
        <f ca="1">' 08 '!$I373</f>
        <v>0</v>
      </c>
      <c r="K30" s="335">
        <f ca="1">' 09 '!$I373</f>
        <v>0</v>
      </c>
      <c r="L30" s="335">
        <f ca="1">' 10 '!$I373</f>
        <v>0</v>
      </c>
      <c r="M30" s="335">
        <f ca="1">' 11 '!$I373</f>
        <v>0</v>
      </c>
      <c r="N30" s="335">
        <f ca="1">' 12 '!$I373</f>
        <v>0</v>
      </c>
      <c r="O30" s="336">
        <f t="shared" ref="O30:O76" ca="1" si="3">SUM(C30:N30)</f>
        <v>0</v>
      </c>
      <c r="Q30" s="231">
        <v>1</v>
      </c>
    </row>
    <row r="31" spans="1:17" x14ac:dyDescent="0.25">
      <c r="A31" s="527" t="str">
        <f ca="1">' 01 '!A374</f>
        <v>Stundenlohn</v>
      </c>
      <c r="B31" s="528"/>
      <c r="C31" s="335">
        <f ca="1">' 01 '!$I374</f>
        <v>0</v>
      </c>
      <c r="D31" s="335">
        <f ca="1">' 02 '!$I374</f>
        <v>0</v>
      </c>
      <c r="E31" s="335">
        <f ca="1">' 03 '!$I374</f>
        <v>0</v>
      </c>
      <c r="F31" s="335">
        <f ca="1">' 04 '!$I374</f>
        <v>0</v>
      </c>
      <c r="G31" s="335">
        <f ca="1">' 05 '!$I374</f>
        <v>0</v>
      </c>
      <c r="H31" s="335">
        <f ca="1">' 06 '!$I374</f>
        <v>0</v>
      </c>
      <c r="I31" s="335">
        <f ca="1">' 07 '!$I374</f>
        <v>0</v>
      </c>
      <c r="J31" s="335">
        <f ca="1">' 08 '!$I374</f>
        <v>0</v>
      </c>
      <c r="K31" s="335">
        <f ca="1">' 09 '!$I374</f>
        <v>0</v>
      </c>
      <c r="L31" s="335">
        <f ca="1">' 10 '!$I374</f>
        <v>0</v>
      </c>
      <c r="M31" s="335">
        <f ca="1">' 11 '!$I374</f>
        <v>0</v>
      </c>
      <c r="N31" s="335">
        <f ca="1">' 12 '!$I374</f>
        <v>0</v>
      </c>
      <c r="O31" s="336">
        <f t="shared" ca="1" si="3"/>
        <v>0</v>
      </c>
      <c r="Q31" s="231">
        <v>1</v>
      </c>
    </row>
    <row r="32" spans="1:17" x14ac:dyDescent="0.25">
      <c r="A32" s="527" t="str">
        <f ca="1">' 01 '!A375</f>
        <v>13. Monatslohn</v>
      </c>
      <c r="B32" s="528"/>
      <c r="C32" s="335">
        <f ca="1">' 01 '!$I375</f>
        <v>0</v>
      </c>
      <c r="D32" s="335">
        <f ca="1">' 02 '!$I375</f>
        <v>0</v>
      </c>
      <c r="E32" s="335">
        <f ca="1">' 03 '!$I375</f>
        <v>0</v>
      </c>
      <c r="F32" s="335">
        <f ca="1">' 04 '!$I375</f>
        <v>0</v>
      </c>
      <c r="G32" s="335">
        <f ca="1">' 05 '!$I375</f>
        <v>0</v>
      </c>
      <c r="H32" s="335">
        <f ca="1">' 06 '!$I375</f>
        <v>0</v>
      </c>
      <c r="I32" s="335">
        <f ca="1">' 07 '!$I375</f>
        <v>0</v>
      </c>
      <c r="J32" s="335">
        <f ca="1">' 08 '!$I375</f>
        <v>0</v>
      </c>
      <c r="K32" s="335">
        <f ca="1">' 09 '!$I375</f>
        <v>0</v>
      </c>
      <c r="L32" s="335">
        <f ca="1">' 10 '!$I375</f>
        <v>0</v>
      </c>
      <c r="M32" s="335">
        <f ca="1">' 11 '!$I375</f>
        <v>0</v>
      </c>
      <c r="N32" s="335">
        <f ca="1">' 12 '!$I375</f>
        <v>0</v>
      </c>
      <c r="O32" s="336">
        <f t="shared" ca="1" si="3"/>
        <v>0</v>
      </c>
      <c r="Q32" s="231">
        <v>1</v>
      </c>
    </row>
    <row r="33" spans="1:17" x14ac:dyDescent="0.25">
      <c r="A33" s="527" t="str">
        <f ca="1">' 01 '!A376</f>
        <v>Überstunden</v>
      </c>
      <c r="B33" s="528"/>
      <c r="C33" s="335">
        <f ca="1">' 01 '!$I376</f>
        <v>0</v>
      </c>
      <c r="D33" s="335">
        <f ca="1">' 02 '!$I376</f>
        <v>0</v>
      </c>
      <c r="E33" s="335">
        <f ca="1">' 03 '!$I376</f>
        <v>0</v>
      </c>
      <c r="F33" s="335">
        <f ca="1">' 04 '!$I376</f>
        <v>0</v>
      </c>
      <c r="G33" s="335">
        <f ca="1">' 05 '!$I376</f>
        <v>0</v>
      </c>
      <c r="H33" s="335">
        <f ca="1">' 06 '!$I376</f>
        <v>0</v>
      </c>
      <c r="I33" s="335">
        <f ca="1">' 07 '!$I376</f>
        <v>0</v>
      </c>
      <c r="J33" s="335">
        <f ca="1">' 08 '!$I376</f>
        <v>0</v>
      </c>
      <c r="K33" s="335">
        <f ca="1">' 09 '!$I376</f>
        <v>0</v>
      </c>
      <c r="L33" s="335">
        <f ca="1">' 10 '!$I376</f>
        <v>0</v>
      </c>
      <c r="M33" s="335">
        <f ca="1">' 11 '!$I376</f>
        <v>0</v>
      </c>
      <c r="N33" s="335">
        <f ca="1">' 12 '!$I376</f>
        <v>0</v>
      </c>
      <c r="O33" s="336">
        <f t="shared" ca="1" si="3"/>
        <v>0</v>
      </c>
      <c r="Q33" s="231">
        <v>1</v>
      </c>
    </row>
    <row r="34" spans="1:17" x14ac:dyDescent="0.25">
      <c r="A34" s="527" t="str">
        <f ca="1">' 01 '!A377</f>
        <v>Nachtpauschale</v>
      </c>
      <c r="B34" s="528"/>
      <c r="C34" s="335">
        <f ca="1">' 01 '!$I377</f>
        <v>0</v>
      </c>
      <c r="D34" s="335">
        <f ca="1">' 02 '!$I377</f>
        <v>0</v>
      </c>
      <c r="E34" s="335">
        <f ca="1">' 03 '!$I377</f>
        <v>0</v>
      </c>
      <c r="F34" s="335">
        <f ca="1">' 04 '!$I377</f>
        <v>0</v>
      </c>
      <c r="G34" s="335">
        <f ca="1">' 05 '!$I377</f>
        <v>0</v>
      </c>
      <c r="H34" s="335">
        <f ca="1">' 06 '!$I377</f>
        <v>0</v>
      </c>
      <c r="I34" s="335">
        <f ca="1">' 07 '!$I377</f>
        <v>0</v>
      </c>
      <c r="J34" s="335">
        <f ca="1">' 08 '!$I377</f>
        <v>0</v>
      </c>
      <c r="K34" s="335">
        <f ca="1">' 09 '!$I377</f>
        <v>0</v>
      </c>
      <c r="L34" s="335">
        <f ca="1">' 10 '!$I377</f>
        <v>0</v>
      </c>
      <c r="M34" s="335">
        <f ca="1">' 11 '!$I377</f>
        <v>0</v>
      </c>
      <c r="N34" s="335">
        <f ca="1">' 12 '!$I377</f>
        <v>0</v>
      </c>
      <c r="O34" s="336">
        <f t="shared" ca="1" si="3"/>
        <v>0</v>
      </c>
      <c r="Q34" s="231">
        <v>1</v>
      </c>
    </row>
    <row r="35" spans="1:17" x14ac:dyDescent="0.25">
      <c r="A35" s="988" t="str">
        <f ca="1">' 01 '!A378</f>
        <v>Lohnfortzahlung bei Arbeitsunfähigkeit</v>
      </c>
      <c r="B35" s="989"/>
      <c r="C35" s="335">
        <f ca="1">' 01 '!$I378</f>
        <v>0</v>
      </c>
      <c r="D35" s="335">
        <f ca="1">' 02 '!$I378</f>
        <v>0</v>
      </c>
      <c r="E35" s="335">
        <f ca="1">' 03 '!$I378</f>
        <v>0</v>
      </c>
      <c r="F35" s="335">
        <f ca="1">' 04 '!$I378</f>
        <v>0</v>
      </c>
      <c r="G35" s="335">
        <f ca="1">' 05 '!$I378</f>
        <v>0</v>
      </c>
      <c r="H35" s="335">
        <f ca="1">' 06 '!$I378</f>
        <v>0</v>
      </c>
      <c r="I35" s="335">
        <f ca="1">' 07 '!$I378</f>
        <v>0</v>
      </c>
      <c r="J35" s="335">
        <f ca="1">' 08 '!$I378</f>
        <v>0</v>
      </c>
      <c r="K35" s="335">
        <f ca="1">' 09 '!$I378</f>
        <v>0</v>
      </c>
      <c r="L35" s="335">
        <f ca="1">' 10 '!$I378</f>
        <v>0</v>
      </c>
      <c r="M35" s="335">
        <f ca="1">' 11 '!$I378</f>
        <v>0</v>
      </c>
      <c r="N35" s="335">
        <f ca="1">' 12 '!$I378</f>
        <v>0</v>
      </c>
      <c r="O35" s="336">
        <f t="shared" ca="1" si="3"/>
        <v>0</v>
      </c>
      <c r="Q35" s="231">
        <v>1</v>
      </c>
    </row>
    <row r="36" spans="1:17" hidden="1" x14ac:dyDescent="0.25">
      <c r="A36" s="529">
        <f>' 01 '!A379</f>
        <v>0</v>
      </c>
      <c r="B36" s="528"/>
      <c r="C36" s="335">
        <f>' 01 '!$I379</f>
        <v>0</v>
      </c>
      <c r="D36" s="335">
        <f>' 02 '!$I379</f>
        <v>0</v>
      </c>
      <c r="E36" s="335">
        <f>' 03 '!$I379</f>
        <v>0</v>
      </c>
      <c r="F36" s="335">
        <f>' 04 '!$I379</f>
        <v>0</v>
      </c>
      <c r="G36" s="335">
        <f>' 05 '!$I379</f>
        <v>0</v>
      </c>
      <c r="H36" s="335">
        <f>' 06 '!$I379</f>
        <v>0</v>
      </c>
      <c r="I36" s="335">
        <f>' 07 '!$I379</f>
        <v>0</v>
      </c>
      <c r="J36" s="335">
        <f>' 08 '!$I379</f>
        <v>0</v>
      </c>
      <c r="K36" s="335">
        <f>' 09 '!$I379</f>
        <v>0</v>
      </c>
      <c r="L36" s="335">
        <f>' 10 '!$I379</f>
        <v>0</v>
      </c>
      <c r="M36" s="335">
        <f>' 11 '!$I379</f>
        <v>0</v>
      </c>
      <c r="N36" s="335">
        <f>' 12 '!$I379</f>
        <v>0</v>
      </c>
      <c r="O36" s="336">
        <f t="shared" si="3"/>
        <v>0</v>
      </c>
      <c r="Q36" s="231"/>
    </row>
    <row r="37" spans="1:17" x14ac:dyDescent="0.25">
      <c r="A37" s="527" t="str">
        <f ca="1">' 01 '!A380</f>
        <v>Ferienentschädigung</v>
      </c>
      <c r="B37" s="528"/>
      <c r="C37" s="335">
        <f ca="1">' 01 '!$I380</f>
        <v>0</v>
      </c>
      <c r="D37" s="335">
        <f ca="1">' 02 '!$I380</f>
        <v>0</v>
      </c>
      <c r="E37" s="335">
        <f ca="1">' 03 '!$I380</f>
        <v>0</v>
      </c>
      <c r="F37" s="335">
        <f ca="1">' 04 '!$I380</f>
        <v>0</v>
      </c>
      <c r="G37" s="335">
        <f ca="1">' 05 '!$I380</f>
        <v>0</v>
      </c>
      <c r="H37" s="335">
        <f ca="1">' 06 '!$I380</f>
        <v>0</v>
      </c>
      <c r="I37" s="335">
        <f ca="1">' 07 '!$I380</f>
        <v>0</v>
      </c>
      <c r="J37" s="335">
        <f ca="1">' 08 '!$I380</f>
        <v>0</v>
      </c>
      <c r="K37" s="335">
        <f ca="1">' 09 '!$I380</f>
        <v>0</v>
      </c>
      <c r="L37" s="335">
        <f ca="1">' 10 '!$I380</f>
        <v>0</v>
      </c>
      <c r="M37" s="335">
        <f ca="1">' 11 '!$I380</f>
        <v>0</v>
      </c>
      <c r="N37" s="335">
        <f ca="1">' 12 '!$I380</f>
        <v>0</v>
      </c>
      <c r="O37" s="336">
        <f t="shared" ca="1" si="3"/>
        <v>0</v>
      </c>
      <c r="Q37" s="231">
        <v>1</v>
      </c>
    </row>
    <row r="38" spans="1:17" hidden="1" x14ac:dyDescent="0.25">
      <c r="A38" s="529">
        <f>' 01 '!A381</f>
        <v>0</v>
      </c>
      <c r="B38" s="528"/>
      <c r="C38" s="335">
        <f>' 01 '!$I381</f>
        <v>0</v>
      </c>
      <c r="D38" s="335">
        <f>' 02 '!$I381</f>
        <v>0</v>
      </c>
      <c r="E38" s="335">
        <f>' 03 '!$I381</f>
        <v>0</v>
      </c>
      <c r="F38" s="335">
        <f>' 04 '!$I381</f>
        <v>0</v>
      </c>
      <c r="G38" s="335">
        <f>' 05 '!$I381</f>
        <v>0</v>
      </c>
      <c r="H38" s="335">
        <f>' 06 '!$I381</f>
        <v>0</v>
      </c>
      <c r="I38" s="335">
        <f>' 07 '!$I381</f>
        <v>0</v>
      </c>
      <c r="J38" s="335">
        <f>' 08 '!$I381</f>
        <v>0</v>
      </c>
      <c r="K38" s="335">
        <f>' 09 '!$I381</f>
        <v>0</v>
      </c>
      <c r="L38" s="335">
        <f>' 10 '!$I381</f>
        <v>0</v>
      </c>
      <c r="M38" s="335">
        <f>' 11 '!$I381</f>
        <v>0</v>
      </c>
      <c r="N38" s="335">
        <f>' 12 '!$I381</f>
        <v>0</v>
      </c>
      <c r="O38" s="336">
        <f t="shared" si="3"/>
        <v>0</v>
      </c>
      <c r="Q38" s="231"/>
    </row>
    <row r="39" spans="1:17" x14ac:dyDescent="0.25">
      <c r="A39" s="527" t="str">
        <f ca="1">' 01 '!A382</f>
        <v>Taggelder der Unfallversicherung</v>
      </c>
      <c r="B39" s="528"/>
      <c r="C39" s="335">
        <f ca="1">' 01 '!$I382</f>
        <v>0</v>
      </c>
      <c r="D39" s="335">
        <f ca="1">' 02 '!$I382</f>
        <v>0</v>
      </c>
      <c r="E39" s="335">
        <f ca="1">' 03 '!$I382</f>
        <v>0</v>
      </c>
      <c r="F39" s="335">
        <f ca="1">' 04 '!$I382</f>
        <v>0</v>
      </c>
      <c r="G39" s="335">
        <f ca="1">' 05 '!$I382</f>
        <v>0</v>
      </c>
      <c r="H39" s="335">
        <f ca="1">' 06 '!$I382</f>
        <v>0</v>
      </c>
      <c r="I39" s="335">
        <f ca="1">' 07 '!$I382</f>
        <v>0</v>
      </c>
      <c r="J39" s="335">
        <f ca="1">' 08 '!$I382</f>
        <v>0</v>
      </c>
      <c r="K39" s="335">
        <f ca="1">' 09 '!$I382</f>
        <v>0</v>
      </c>
      <c r="L39" s="335">
        <f ca="1">' 10 '!$I382</f>
        <v>0</v>
      </c>
      <c r="M39" s="335">
        <f ca="1">' 11 '!$I382</f>
        <v>0</v>
      </c>
      <c r="N39" s="335">
        <f ca="1">' 12 '!$I382</f>
        <v>0</v>
      </c>
      <c r="O39" s="336">
        <f ca="1">SUM(C39:N39)</f>
        <v>0</v>
      </c>
      <c r="P39" s="96"/>
      <c r="Q39" s="231">
        <v>1</v>
      </c>
    </row>
    <row r="40" spans="1:17" x14ac:dyDescent="0.25">
      <c r="A40" s="527" t="str">
        <f ca="1">' 01 '!A383</f>
        <v>Taggelder der Krankenversicherung</v>
      </c>
      <c r="B40" s="528"/>
      <c r="C40" s="335">
        <f ca="1">' 01 '!$I383</f>
        <v>0</v>
      </c>
      <c r="D40" s="335">
        <f ca="1">' 02 '!$I383</f>
        <v>0</v>
      </c>
      <c r="E40" s="335">
        <f ca="1">' 03 '!$I383</f>
        <v>0</v>
      </c>
      <c r="F40" s="335">
        <f ca="1">' 04 '!$I383</f>
        <v>0</v>
      </c>
      <c r="G40" s="335">
        <f ca="1">' 05 '!$I383</f>
        <v>0</v>
      </c>
      <c r="H40" s="335">
        <f ca="1">' 06 '!$I383</f>
        <v>0</v>
      </c>
      <c r="I40" s="335">
        <f ca="1">' 07 '!$I383</f>
        <v>0</v>
      </c>
      <c r="J40" s="335">
        <f ca="1">' 08 '!$I383</f>
        <v>0</v>
      </c>
      <c r="K40" s="335">
        <f ca="1">' 09 '!$I383</f>
        <v>0</v>
      </c>
      <c r="L40" s="335">
        <f ca="1">' 10 '!$I383</f>
        <v>0</v>
      </c>
      <c r="M40" s="335">
        <f ca="1">' 11 '!$I383</f>
        <v>0</v>
      </c>
      <c r="N40" s="335">
        <f ca="1">' 12 '!$I383</f>
        <v>0</v>
      </c>
      <c r="O40" s="336">
        <f ca="1">SUM(C40:N40)</f>
        <v>0</v>
      </c>
      <c r="P40" s="96"/>
      <c r="Q40" s="231">
        <v>1</v>
      </c>
    </row>
    <row r="41" spans="1:17" x14ac:dyDescent="0.25">
      <c r="A41" s="527" t="str">
        <f ca="1">' 01 '!A384</f>
        <v>Anteil 13. Monatslohn für Taggelder</v>
      </c>
      <c r="B41" s="528"/>
      <c r="C41" s="335">
        <f ca="1">' 01 '!$I384</f>
        <v>0</v>
      </c>
      <c r="D41" s="335">
        <f ca="1">' 02 '!$I384</f>
        <v>0</v>
      </c>
      <c r="E41" s="335">
        <f ca="1">' 03 '!$I384</f>
        <v>0</v>
      </c>
      <c r="F41" s="335">
        <f ca="1">' 04 '!$I384</f>
        <v>0</v>
      </c>
      <c r="G41" s="335">
        <f ca="1">' 05 '!$I384</f>
        <v>0</v>
      </c>
      <c r="H41" s="335">
        <f ca="1">' 06 '!$I384</f>
        <v>0</v>
      </c>
      <c r="I41" s="335">
        <f ca="1">' 07 '!$I384</f>
        <v>0</v>
      </c>
      <c r="J41" s="335">
        <f ca="1">' 08 '!$I384</f>
        <v>0</v>
      </c>
      <c r="K41" s="335">
        <f ca="1">' 09 '!$I384</f>
        <v>0</v>
      </c>
      <c r="L41" s="335">
        <f ca="1">' 10 '!$I384</f>
        <v>0</v>
      </c>
      <c r="M41" s="335">
        <f ca="1">' 11 '!$I384</f>
        <v>0</v>
      </c>
      <c r="N41" s="335">
        <f ca="1">' 12 '!$I384</f>
        <v>0</v>
      </c>
      <c r="O41" s="336">
        <f ca="1">SUM(C41:N41)</f>
        <v>0</v>
      </c>
      <c r="P41" s="96"/>
      <c r="Q41" s="231">
        <v>1</v>
      </c>
    </row>
    <row r="42" spans="1:17" x14ac:dyDescent="0.25">
      <c r="A42" s="527" t="str">
        <f ca="1">' 01 '!A385</f>
        <v>Kinder-/Ausbildungszulage</v>
      </c>
      <c r="B42" s="528"/>
      <c r="C42" s="335">
        <f ca="1">' 01 '!$I385</f>
        <v>0</v>
      </c>
      <c r="D42" s="335">
        <f ca="1">' 02 '!$I385</f>
        <v>0</v>
      </c>
      <c r="E42" s="335">
        <f ca="1">' 03 '!$I385</f>
        <v>0</v>
      </c>
      <c r="F42" s="335">
        <f ca="1">' 04 '!$I385</f>
        <v>0</v>
      </c>
      <c r="G42" s="335">
        <f ca="1">' 05 '!$I385</f>
        <v>0</v>
      </c>
      <c r="H42" s="335">
        <f ca="1">' 06 '!$I385</f>
        <v>0</v>
      </c>
      <c r="I42" s="335">
        <f ca="1">' 07 '!$I385</f>
        <v>0</v>
      </c>
      <c r="J42" s="335">
        <f ca="1">' 08 '!$I385</f>
        <v>0</v>
      </c>
      <c r="K42" s="335">
        <f ca="1">' 09 '!$I385</f>
        <v>0</v>
      </c>
      <c r="L42" s="335">
        <f ca="1">' 10 '!$I385</f>
        <v>0</v>
      </c>
      <c r="M42" s="335">
        <f ca="1">' 11 '!$I385</f>
        <v>0</v>
      </c>
      <c r="N42" s="335">
        <f ca="1">' 12 '!$I385</f>
        <v>0</v>
      </c>
      <c r="O42" s="336">
        <f ca="1">SUM(C42:N42)</f>
        <v>0</v>
      </c>
      <c r="P42" s="96"/>
      <c r="Q42" s="231" t="s">
        <v>548</v>
      </c>
    </row>
    <row r="43" spans="1:17" hidden="1" x14ac:dyDescent="0.25">
      <c r="A43" s="529">
        <f>' 01 '!A386</f>
        <v>0</v>
      </c>
      <c r="B43" s="528"/>
      <c r="C43" s="335"/>
      <c r="D43" s="335"/>
      <c r="E43" s="335"/>
      <c r="F43" s="335"/>
      <c r="G43" s="335"/>
      <c r="H43" s="335"/>
      <c r="I43" s="335"/>
      <c r="J43" s="335"/>
      <c r="K43" s="335"/>
      <c r="L43" s="335"/>
      <c r="M43" s="335"/>
      <c r="N43" s="335"/>
      <c r="O43" s="336"/>
      <c r="P43" s="96"/>
      <c r="Q43" s="231"/>
    </row>
    <row r="44" spans="1:17" x14ac:dyDescent="0.25">
      <c r="A44" s="530" t="str">
        <f ca="1">' 01 '!A387</f>
        <v>Korrekturen</v>
      </c>
      <c r="B44" s="528"/>
      <c r="C44" s="335">
        <f>' 01 '!$I387</f>
        <v>0</v>
      </c>
      <c r="D44" s="335">
        <f>' 02 '!$I387</f>
        <v>0</v>
      </c>
      <c r="E44" s="335">
        <f>' 03 '!$I387</f>
        <v>0</v>
      </c>
      <c r="F44" s="335">
        <f>' 04 '!$I387</f>
        <v>0</v>
      </c>
      <c r="G44" s="335">
        <f>' 05 '!$I387</f>
        <v>0</v>
      </c>
      <c r="H44" s="335">
        <f>' 06 '!$I387</f>
        <v>0</v>
      </c>
      <c r="I44" s="335">
        <f>' 07 '!$I387</f>
        <v>0</v>
      </c>
      <c r="J44" s="335">
        <f>' 08 '!$I387</f>
        <v>0</v>
      </c>
      <c r="K44" s="335">
        <f>' 09 '!$I387</f>
        <v>0</v>
      </c>
      <c r="L44" s="335">
        <f>' 10 '!$I387</f>
        <v>0</v>
      </c>
      <c r="M44" s="335">
        <f>' 11 '!$I387</f>
        <v>0</v>
      </c>
      <c r="N44" s="335">
        <f>' 12 '!$I387</f>
        <v>0</v>
      </c>
      <c r="O44" s="336">
        <f t="shared" si="3"/>
        <v>0</v>
      </c>
      <c r="Q44" s="231">
        <v>1</v>
      </c>
    </row>
    <row r="45" spans="1:17" x14ac:dyDescent="0.25">
      <c r="A45" s="527" t="str">
        <f ca="1">' 01 '!A388</f>
        <v>……Monatslohn</v>
      </c>
      <c r="B45" s="528"/>
      <c r="C45" s="335">
        <f ca="1">' 01 '!$I388</f>
        <v>0</v>
      </c>
      <c r="D45" s="335">
        <f ca="1">' 02 '!$I388</f>
        <v>0</v>
      </c>
      <c r="E45" s="335">
        <f ca="1">' 03 '!$I388</f>
        <v>0</v>
      </c>
      <c r="F45" s="335">
        <f ca="1">' 04 '!$I388</f>
        <v>0</v>
      </c>
      <c r="G45" s="335">
        <f ca="1">' 05 '!$I388</f>
        <v>0</v>
      </c>
      <c r="H45" s="335">
        <f ca="1">' 06 '!$I388</f>
        <v>0</v>
      </c>
      <c r="I45" s="335">
        <f ca="1">' 07 '!$I388</f>
        <v>0</v>
      </c>
      <c r="J45" s="335">
        <f ca="1">' 08 '!$I388</f>
        <v>0</v>
      </c>
      <c r="K45" s="335">
        <f ca="1">' 09 '!$I388</f>
        <v>0</v>
      </c>
      <c r="L45" s="335">
        <f ca="1">' 10 '!$I388</f>
        <v>0</v>
      </c>
      <c r="M45" s="335">
        <f ca="1">' 11 '!$I388</f>
        <v>0</v>
      </c>
      <c r="N45" s="335">
        <f ca="1">' 12 '!$I388</f>
        <v>0</v>
      </c>
      <c r="O45" s="336">
        <f t="shared" ca="1" si="3"/>
        <v>0</v>
      </c>
      <c r="Q45" s="231">
        <v>1</v>
      </c>
    </row>
    <row r="46" spans="1:17" hidden="1" x14ac:dyDescent="0.25">
      <c r="A46" s="529" t="str">
        <f ca="1">' 01 '!A389</f>
        <v xml:space="preserve">      </v>
      </c>
      <c r="B46" s="528"/>
      <c r="C46" s="335">
        <f>' 01 '!$I389</f>
        <v>0</v>
      </c>
      <c r="D46" s="335">
        <f>' 02 '!$I389</f>
        <v>0</v>
      </c>
      <c r="E46" s="335">
        <f>' 03 '!$I389</f>
        <v>0</v>
      </c>
      <c r="F46" s="335">
        <f>' 04 '!$I389</f>
        <v>0</v>
      </c>
      <c r="G46" s="335">
        <f>' 05 '!$I389</f>
        <v>0</v>
      </c>
      <c r="H46" s="335">
        <f>' 06 '!$I389</f>
        <v>0</v>
      </c>
      <c r="I46" s="335">
        <f>' 07 '!$I389</f>
        <v>0</v>
      </c>
      <c r="J46" s="335">
        <f>' 08 '!$I389</f>
        <v>0</v>
      </c>
      <c r="K46" s="335">
        <f>' 09 '!$I389</f>
        <v>0</v>
      </c>
      <c r="L46" s="335">
        <f>' 10 '!$I389</f>
        <v>0</v>
      </c>
      <c r="M46" s="335">
        <f>' 11 '!$I389</f>
        <v>0</v>
      </c>
      <c r="N46" s="335">
        <f>' 12 '!$I389</f>
        <v>0</v>
      </c>
      <c r="O46" s="336">
        <f t="shared" si="3"/>
        <v>0</v>
      </c>
      <c r="Q46" s="231"/>
    </row>
    <row r="47" spans="1:17" x14ac:dyDescent="0.25">
      <c r="A47" s="527" t="str">
        <f ca="1">' 01 '!A390</f>
        <v>……Nachtpauschale</v>
      </c>
      <c r="B47" s="528"/>
      <c r="C47" s="335">
        <f ca="1">' 01 '!$I390</f>
        <v>0</v>
      </c>
      <c r="D47" s="335">
        <f ca="1">' 02 '!$I390</f>
        <v>0</v>
      </c>
      <c r="E47" s="335">
        <f ca="1">' 03 '!$I390</f>
        <v>0</v>
      </c>
      <c r="F47" s="335">
        <f ca="1">' 04 '!$I390</f>
        <v>0</v>
      </c>
      <c r="G47" s="335">
        <f ca="1">' 05 '!$I390</f>
        <v>0</v>
      </c>
      <c r="H47" s="335">
        <f ca="1">' 06 '!$I390</f>
        <v>0</v>
      </c>
      <c r="I47" s="335">
        <f ca="1">' 07 '!$I390</f>
        <v>0</v>
      </c>
      <c r="J47" s="335">
        <f ca="1">' 08 '!$I390</f>
        <v>0</v>
      </c>
      <c r="K47" s="335">
        <f ca="1">' 09 '!$I390</f>
        <v>0</v>
      </c>
      <c r="L47" s="335">
        <f ca="1">' 10 '!$I390</f>
        <v>0</v>
      </c>
      <c r="M47" s="335">
        <f ca="1">' 11 '!$I390</f>
        <v>0</v>
      </c>
      <c r="N47" s="335">
        <f ca="1">' 12 '!$I390</f>
        <v>0</v>
      </c>
      <c r="O47" s="336">
        <f t="shared" ca="1" si="3"/>
        <v>0</v>
      </c>
      <c r="Q47" s="231">
        <v>1</v>
      </c>
    </row>
    <row r="48" spans="1:17" hidden="1" x14ac:dyDescent="0.25">
      <c r="A48" s="529" t="str">
        <f ca="1">' 01 '!A391</f>
        <v xml:space="preserve">      Nachtpauschale</v>
      </c>
      <c r="B48" s="528"/>
      <c r="C48" s="335">
        <f>' 01 '!$I391</f>
        <v>0</v>
      </c>
      <c r="D48" s="335">
        <f>' 02 '!$I391</f>
        <v>0</v>
      </c>
      <c r="E48" s="335">
        <f>' 03 '!$I391</f>
        <v>0</v>
      </c>
      <c r="F48" s="335">
        <f>' 04 '!$I391</f>
        <v>0</v>
      </c>
      <c r="G48" s="335">
        <f>' 05 '!$I391</f>
        <v>0</v>
      </c>
      <c r="H48" s="335">
        <f>' 06 '!$I391</f>
        <v>0</v>
      </c>
      <c r="I48" s="335">
        <f>' 07 '!$I391</f>
        <v>0</v>
      </c>
      <c r="J48" s="335">
        <f>' 08 '!$I391</f>
        <v>0</v>
      </c>
      <c r="K48" s="335">
        <f>' 09 '!$I391</f>
        <v>0</v>
      </c>
      <c r="L48" s="335">
        <f>' 10 '!$I391</f>
        <v>0</v>
      </c>
      <c r="M48" s="335">
        <f>' 11 '!$I391</f>
        <v>0</v>
      </c>
      <c r="N48" s="335">
        <f>' 12 '!$I391</f>
        <v>0</v>
      </c>
      <c r="O48" s="336">
        <f t="shared" si="3"/>
        <v>0</v>
      </c>
      <c r="Q48" s="231"/>
    </row>
    <row r="49" spans="1:17" x14ac:dyDescent="0.25">
      <c r="A49" s="527" t="str">
        <f ca="1">' 01 '!A392</f>
        <v>……Ferienentschädigung auf Korrekturen</v>
      </c>
      <c r="B49" s="528"/>
      <c r="C49" s="335">
        <f ca="1">' 01 '!$I392</f>
        <v>0</v>
      </c>
      <c r="D49" s="335">
        <f ca="1">' 02 '!$I392</f>
        <v>0</v>
      </c>
      <c r="E49" s="335">
        <f ca="1">' 03 '!$I392</f>
        <v>0</v>
      </c>
      <c r="F49" s="335">
        <f ca="1">' 04 '!$I392</f>
        <v>0</v>
      </c>
      <c r="G49" s="335">
        <f ca="1">' 05 '!$I392</f>
        <v>0</v>
      </c>
      <c r="H49" s="335">
        <f ca="1">' 06 '!$I392</f>
        <v>0</v>
      </c>
      <c r="I49" s="335">
        <f ca="1">' 07 '!$I392</f>
        <v>0</v>
      </c>
      <c r="J49" s="335">
        <f ca="1">' 08 '!$I392</f>
        <v>0</v>
      </c>
      <c r="K49" s="335">
        <f ca="1">' 09 '!$I392</f>
        <v>0</v>
      </c>
      <c r="L49" s="335">
        <f ca="1">' 10 '!$I392</f>
        <v>0</v>
      </c>
      <c r="M49" s="335">
        <f ca="1">' 11 '!$I392</f>
        <v>0</v>
      </c>
      <c r="N49" s="335">
        <f ca="1">' 12 '!$I392</f>
        <v>0</v>
      </c>
      <c r="O49" s="336">
        <f t="shared" ca="1" si="3"/>
        <v>0</v>
      </c>
      <c r="Q49" s="231">
        <v>1</v>
      </c>
    </row>
    <row r="50" spans="1:17" x14ac:dyDescent="0.25">
      <c r="A50" s="527" t="str">
        <f ca="1">' 01 '!A393</f>
        <v xml:space="preserve">…...Korrektur Ferienentschädigung </v>
      </c>
      <c r="B50" s="528"/>
      <c r="C50" s="335">
        <f ca="1">' 01 '!$I393</f>
        <v>0</v>
      </c>
      <c r="D50" s="335">
        <f ca="1">' 02 '!$I393</f>
        <v>0</v>
      </c>
      <c r="E50" s="335">
        <f ca="1">' 03 '!$I393</f>
        <v>0</v>
      </c>
      <c r="F50" s="335">
        <f ca="1">' 04 '!$I393</f>
        <v>0</v>
      </c>
      <c r="G50" s="335">
        <f ca="1">' 05 '!$I393</f>
        <v>0</v>
      </c>
      <c r="H50" s="335">
        <f ca="1">' 06 '!$I393</f>
        <v>0</v>
      </c>
      <c r="I50" s="335">
        <f ca="1">' 07 '!$I393</f>
        <v>0</v>
      </c>
      <c r="J50" s="335">
        <f ca="1">' 08 '!$I393</f>
        <v>0</v>
      </c>
      <c r="K50" s="335">
        <f ca="1">' 09 '!$I393</f>
        <v>0</v>
      </c>
      <c r="L50" s="335">
        <f ca="1">' 10 '!$I393</f>
        <v>0</v>
      </c>
      <c r="M50" s="335">
        <f ca="1">' 11 '!$I393</f>
        <v>0</v>
      </c>
      <c r="N50" s="335">
        <f ca="1">' 12 '!$I393</f>
        <v>0</v>
      </c>
      <c r="O50" s="336">
        <f t="shared" ca="1" si="3"/>
        <v>0</v>
      </c>
      <c r="Q50" s="231">
        <v>1</v>
      </c>
    </row>
    <row r="51" spans="1:17" hidden="1" x14ac:dyDescent="0.25">
      <c r="A51" s="529" t="str">
        <f ca="1">' 01 '!A394</f>
        <v xml:space="preserve">      </v>
      </c>
      <c r="B51" s="528"/>
      <c r="C51" s="335">
        <f>' 01 '!$I394</f>
        <v>0</v>
      </c>
      <c r="D51" s="335">
        <f>' 02 '!$I394</f>
        <v>0</v>
      </c>
      <c r="E51" s="335">
        <f>' 03 '!$I394</f>
        <v>0</v>
      </c>
      <c r="F51" s="335">
        <f>' 04 '!$I394</f>
        <v>0</v>
      </c>
      <c r="G51" s="335">
        <f>' 05 '!$I394</f>
        <v>0</v>
      </c>
      <c r="H51" s="335">
        <f>' 06 '!$I394</f>
        <v>0</v>
      </c>
      <c r="I51" s="335">
        <f>' 07 '!$I394</f>
        <v>0</v>
      </c>
      <c r="J51" s="335">
        <f>' 08 '!$I394</f>
        <v>0</v>
      </c>
      <c r="K51" s="335">
        <f>' 09 '!$I394</f>
        <v>0</v>
      </c>
      <c r="L51" s="335">
        <f>' 10 '!$I394</f>
        <v>0</v>
      </c>
      <c r="M51" s="335">
        <f>' 11 '!$I394</f>
        <v>0</v>
      </c>
      <c r="N51" s="335">
        <f>' 12 '!$I394</f>
        <v>0</v>
      </c>
      <c r="O51" s="336">
        <f t="shared" si="3"/>
        <v>0</v>
      </c>
      <c r="Q51" s="231"/>
    </row>
    <row r="52" spans="1:17" x14ac:dyDescent="0.25">
      <c r="A52" s="527" t="str">
        <f ca="1">' 01 '!A395</f>
        <v>……Taggelder der Unfallversicherung</v>
      </c>
      <c r="B52" s="528"/>
      <c r="C52" s="335">
        <f ca="1">' 01 '!$I395</f>
        <v>0</v>
      </c>
      <c r="D52" s="335">
        <f ca="1">' 02 '!$I395</f>
        <v>0</v>
      </c>
      <c r="E52" s="335">
        <f ca="1">' 03 '!$I395</f>
        <v>0</v>
      </c>
      <c r="F52" s="335">
        <f ca="1">' 04 '!$I395</f>
        <v>0</v>
      </c>
      <c r="G52" s="335">
        <f ca="1">' 05 '!$I395</f>
        <v>0</v>
      </c>
      <c r="H52" s="335">
        <f ca="1">' 06 '!$I395</f>
        <v>0</v>
      </c>
      <c r="I52" s="335">
        <f ca="1">' 07 '!$I395</f>
        <v>0</v>
      </c>
      <c r="J52" s="335">
        <f ca="1">' 08 '!$I395</f>
        <v>0</v>
      </c>
      <c r="K52" s="335">
        <f ca="1">' 09 '!$I395</f>
        <v>0</v>
      </c>
      <c r="L52" s="335">
        <f ca="1">' 10 '!$I395</f>
        <v>0</v>
      </c>
      <c r="M52" s="335">
        <f ca="1">' 11 '!$I395</f>
        <v>0</v>
      </c>
      <c r="N52" s="335">
        <f ca="1">' 12 '!$I395</f>
        <v>0</v>
      </c>
      <c r="O52" s="336">
        <f t="shared" ref="O52:O57" ca="1" si="4">SUM(C52:N52)</f>
        <v>0</v>
      </c>
      <c r="P52" s="96"/>
      <c r="Q52" s="231">
        <v>1</v>
      </c>
    </row>
    <row r="53" spans="1:17" hidden="1" x14ac:dyDescent="0.25">
      <c r="A53" s="529" t="str">
        <f ca="1">' 01 '!A396</f>
        <v xml:space="preserve">      </v>
      </c>
      <c r="B53" s="528"/>
      <c r="C53" s="335">
        <f>' 01 '!$I396</f>
        <v>0</v>
      </c>
      <c r="D53" s="335">
        <f>' 02 '!$I396</f>
        <v>0</v>
      </c>
      <c r="E53" s="335">
        <f>' 03 '!$I396</f>
        <v>0</v>
      </c>
      <c r="F53" s="335">
        <f>' 04 '!$I396</f>
        <v>0</v>
      </c>
      <c r="G53" s="335">
        <f>' 05 '!$I396</f>
        <v>0</v>
      </c>
      <c r="H53" s="335">
        <f>' 06 '!$I396</f>
        <v>0</v>
      </c>
      <c r="I53" s="335">
        <f>' 07 '!$I396</f>
        <v>0</v>
      </c>
      <c r="J53" s="335">
        <f>' 08 '!$I396</f>
        <v>0</v>
      </c>
      <c r="K53" s="335">
        <f>' 09 '!$I396</f>
        <v>0</v>
      </c>
      <c r="L53" s="335">
        <f>' 10 '!$I396</f>
        <v>0</v>
      </c>
      <c r="M53" s="335">
        <f>' 11 '!$I396</f>
        <v>0</v>
      </c>
      <c r="N53" s="335">
        <f>' 12 '!$I396</f>
        <v>0</v>
      </c>
      <c r="O53" s="336">
        <f t="shared" si="4"/>
        <v>0</v>
      </c>
      <c r="P53" s="96"/>
      <c r="Q53" s="231">
        <v>1</v>
      </c>
    </row>
    <row r="54" spans="1:17" x14ac:dyDescent="0.25">
      <c r="A54" s="527" t="str">
        <f ca="1">' 01 '!A397</f>
        <v>……Taggelder der Krankenversicherung</v>
      </c>
      <c r="B54" s="528"/>
      <c r="C54" s="335">
        <f ca="1">' 01 '!$I397</f>
        <v>0</v>
      </c>
      <c r="D54" s="335">
        <f ca="1">' 02 '!$I397</f>
        <v>0</v>
      </c>
      <c r="E54" s="335">
        <f ca="1">' 03 '!$I397</f>
        <v>0</v>
      </c>
      <c r="F54" s="335">
        <f ca="1">' 04 '!$I397</f>
        <v>0</v>
      </c>
      <c r="G54" s="335">
        <f ca="1">' 05 '!$I397</f>
        <v>0</v>
      </c>
      <c r="H54" s="335">
        <f ca="1">' 06 '!$I397</f>
        <v>0</v>
      </c>
      <c r="I54" s="335">
        <f ca="1">' 07 '!$I397</f>
        <v>0</v>
      </c>
      <c r="J54" s="335">
        <f ca="1">' 08 '!$I397</f>
        <v>0</v>
      </c>
      <c r="K54" s="335">
        <f ca="1">' 09 '!$I397</f>
        <v>0</v>
      </c>
      <c r="L54" s="335">
        <f ca="1">' 10 '!$I397</f>
        <v>0</v>
      </c>
      <c r="M54" s="335">
        <f ca="1">' 11 '!$I397</f>
        <v>0</v>
      </c>
      <c r="N54" s="335">
        <f ca="1">' 12 '!$I397</f>
        <v>0</v>
      </c>
      <c r="O54" s="336">
        <f t="shared" ca="1" si="4"/>
        <v>0</v>
      </c>
      <c r="P54" s="96"/>
      <c r="Q54" s="231">
        <v>1</v>
      </c>
    </row>
    <row r="55" spans="1:17" hidden="1" x14ac:dyDescent="0.25">
      <c r="A55" s="532" t="str">
        <f ca="1">' 01 '!A398</f>
        <v xml:space="preserve">      </v>
      </c>
      <c r="B55" s="528"/>
      <c r="C55" s="335">
        <f>' 01 '!$I398</f>
        <v>0</v>
      </c>
      <c r="D55" s="335">
        <f>' 02 '!$I398</f>
        <v>0</v>
      </c>
      <c r="E55" s="335">
        <f>' 03 '!$I398</f>
        <v>0</v>
      </c>
      <c r="F55" s="335">
        <f>' 04 '!$I398</f>
        <v>0</v>
      </c>
      <c r="G55" s="335">
        <f>' 05 '!$I398</f>
        <v>0</v>
      </c>
      <c r="H55" s="335">
        <f>' 06 '!$I398</f>
        <v>0</v>
      </c>
      <c r="I55" s="335">
        <f>' 07 '!$I398</f>
        <v>0</v>
      </c>
      <c r="J55" s="335">
        <f>' 08 '!$I398</f>
        <v>0</v>
      </c>
      <c r="K55" s="335">
        <f>' 09 '!$I398</f>
        <v>0</v>
      </c>
      <c r="L55" s="335">
        <f>' 10 '!$I398</f>
        <v>0</v>
      </c>
      <c r="M55" s="335">
        <f>' 11 '!$I398</f>
        <v>0</v>
      </c>
      <c r="N55" s="335">
        <f>' 12 '!$I398</f>
        <v>0</v>
      </c>
      <c r="O55" s="336">
        <f t="shared" si="4"/>
        <v>0</v>
      </c>
      <c r="Q55" s="231"/>
    </row>
    <row r="56" spans="1:17" x14ac:dyDescent="0.25">
      <c r="A56" s="531" t="str">
        <f ca="1">' 01 '!A399</f>
        <v>……Kinder-/Ausbildungszulage</v>
      </c>
      <c r="B56" s="528"/>
      <c r="C56" s="335">
        <f ca="1">' 01 '!$I399</f>
        <v>0</v>
      </c>
      <c r="D56" s="335">
        <f ca="1">' 02 '!$I399</f>
        <v>0</v>
      </c>
      <c r="E56" s="335">
        <f ca="1">' 03 '!$I399</f>
        <v>0</v>
      </c>
      <c r="F56" s="335">
        <f ca="1">' 04 '!$I399</f>
        <v>0</v>
      </c>
      <c r="G56" s="335">
        <f ca="1">' 05 '!$I399</f>
        <v>0</v>
      </c>
      <c r="H56" s="335">
        <f ca="1">' 06 '!$I399</f>
        <v>0</v>
      </c>
      <c r="I56" s="335">
        <f ca="1">' 07 '!$I399</f>
        <v>0</v>
      </c>
      <c r="J56" s="335">
        <f ca="1">' 08 '!$I399</f>
        <v>0</v>
      </c>
      <c r="K56" s="335">
        <f ca="1">' 09 '!$I399</f>
        <v>0</v>
      </c>
      <c r="L56" s="335">
        <f ca="1">' 10 '!$I399</f>
        <v>0</v>
      </c>
      <c r="M56" s="335">
        <f ca="1">' 11 '!$I399</f>
        <v>0</v>
      </c>
      <c r="N56" s="335">
        <f ca="1">' 12 '!$I399</f>
        <v>0</v>
      </c>
      <c r="O56" s="336">
        <f t="shared" ca="1" si="4"/>
        <v>0</v>
      </c>
      <c r="P56" s="96"/>
      <c r="Q56" s="231" t="s">
        <v>548</v>
      </c>
    </row>
    <row r="57" spans="1:17" hidden="1" x14ac:dyDescent="0.25">
      <c r="A57" s="529" t="str">
        <f ca="1">' 01 '!A400</f>
        <v xml:space="preserve">      </v>
      </c>
      <c r="B57" s="528"/>
      <c r="C57" s="335">
        <f>' 01 '!$I400</f>
        <v>0</v>
      </c>
      <c r="D57" s="335">
        <f>' 02 '!$I400</f>
        <v>0</v>
      </c>
      <c r="E57" s="335">
        <f>' 03 '!$I400</f>
        <v>0</v>
      </c>
      <c r="F57" s="335">
        <f>' 04 '!$I400</f>
        <v>0</v>
      </c>
      <c r="G57" s="335">
        <f>' 05 '!$I400</f>
        <v>0</v>
      </c>
      <c r="H57" s="335">
        <f>' 06 '!$I400</f>
        <v>0</v>
      </c>
      <c r="I57" s="335">
        <f>' 07 '!$I400</f>
        <v>0</v>
      </c>
      <c r="J57" s="335">
        <f>' 08 '!$I400</f>
        <v>0</v>
      </c>
      <c r="K57" s="335">
        <f>' 09 '!$I400</f>
        <v>0</v>
      </c>
      <c r="L57" s="335">
        <f>' 10 '!$I400</f>
        <v>0</v>
      </c>
      <c r="M57" s="335">
        <f>' 11 '!$I400</f>
        <v>0</v>
      </c>
      <c r="N57" s="335">
        <f>' 12 '!$I400</f>
        <v>0</v>
      </c>
      <c r="O57" s="336">
        <f t="shared" si="4"/>
        <v>0</v>
      </c>
      <c r="Q57" s="231"/>
    </row>
    <row r="58" spans="1:17" hidden="1" x14ac:dyDescent="0.25">
      <c r="A58" s="529">
        <f>' 01 '!A401</f>
        <v>0</v>
      </c>
      <c r="B58" s="528"/>
      <c r="C58" s="335">
        <f>' 01 '!$I401</f>
        <v>0</v>
      </c>
      <c r="D58" s="335">
        <f>' 02 '!$I401</f>
        <v>0</v>
      </c>
      <c r="E58" s="335">
        <f>' 03 '!$I401</f>
        <v>0</v>
      </c>
      <c r="F58" s="335">
        <f>' 04 '!$I401</f>
        <v>0</v>
      </c>
      <c r="G58" s="335">
        <f>' 05 '!$I401</f>
        <v>0</v>
      </c>
      <c r="H58" s="335">
        <f>' 06 '!$I401</f>
        <v>0</v>
      </c>
      <c r="I58" s="335">
        <f>' 07 '!$I401</f>
        <v>0</v>
      </c>
      <c r="J58" s="335">
        <f>' 08 '!$I401</f>
        <v>0</v>
      </c>
      <c r="K58" s="335">
        <f>' 09 '!$I401</f>
        <v>0</v>
      </c>
      <c r="L58" s="335">
        <f>' 10 '!$I401</f>
        <v>0</v>
      </c>
      <c r="M58" s="335">
        <f>' 11 '!$I401</f>
        <v>0</v>
      </c>
      <c r="N58" s="335">
        <f>' 12 '!$I401</f>
        <v>0</v>
      </c>
      <c r="O58" s="336">
        <f t="shared" si="3"/>
        <v>0</v>
      </c>
      <c r="Q58" s="231"/>
    </row>
    <row r="59" spans="1:17" x14ac:dyDescent="0.25">
      <c r="A59" s="527" t="str">
        <f ca="1">' 01 '!A402</f>
        <v>Kost und Logis</v>
      </c>
      <c r="B59" s="528"/>
      <c r="C59" s="335">
        <f ca="1">' 01 '!$I402</f>
        <v>0</v>
      </c>
      <c r="D59" s="335">
        <f ca="1">' 02 '!$I402</f>
        <v>0</v>
      </c>
      <c r="E59" s="335">
        <f ca="1">' 03 '!$I402</f>
        <v>0</v>
      </c>
      <c r="F59" s="335">
        <f ca="1">' 04 '!$I402</f>
        <v>0</v>
      </c>
      <c r="G59" s="335">
        <f ca="1">' 05 '!$I402</f>
        <v>0</v>
      </c>
      <c r="H59" s="335">
        <f ca="1">' 06 '!$I402</f>
        <v>0</v>
      </c>
      <c r="I59" s="335">
        <f ca="1">' 07 '!$I402</f>
        <v>0</v>
      </c>
      <c r="J59" s="335">
        <f ca="1">' 08 '!$I402</f>
        <v>0</v>
      </c>
      <c r="K59" s="335">
        <f ca="1">' 09 '!$I402</f>
        <v>0</v>
      </c>
      <c r="L59" s="335">
        <f ca="1">' 10 '!$I402</f>
        <v>0</v>
      </c>
      <c r="M59" s="335">
        <f ca="1">' 11 '!$I402</f>
        <v>0</v>
      </c>
      <c r="N59" s="335">
        <f ca="1">' 12 '!$I402</f>
        <v>0</v>
      </c>
      <c r="O59" s="336">
        <f t="shared" ca="1" si="3"/>
        <v>0</v>
      </c>
      <c r="Q59" s="231">
        <v>2</v>
      </c>
    </row>
    <row r="60" spans="1:17" hidden="1" x14ac:dyDescent="0.25">
      <c r="A60" s="529">
        <f>' 01 '!A403</f>
        <v>0</v>
      </c>
      <c r="B60" s="528"/>
      <c r="C60" s="335">
        <f>' 01 '!$I403</f>
        <v>0</v>
      </c>
      <c r="D60" s="335">
        <f>' 02 '!$I403</f>
        <v>0</v>
      </c>
      <c r="E60" s="335">
        <f>' 03 '!$I403</f>
        <v>0</v>
      </c>
      <c r="F60" s="335">
        <f>' 04 '!$I403</f>
        <v>0</v>
      </c>
      <c r="G60" s="335">
        <f>' 05 '!$I403</f>
        <v>0</v>
      </c>
      <c r="H60" s="335">
        <f>' 06 '!$I403</f>
        <v>0</v>
      </c>
      <c r="I60" s="335">
        <f>' 07 '!$I403</f>
        <v>0</v>
      </c>
      <c r="J60" s="335">
        <f>' 08 '!$I403</f>
        <v>0</v>
      </c>
      <c r="K60" s="335">
        <f>' 09 '!$I403</f>
        <v>0</v>
      </c>
      <c r="L60" s="335">
        <f>' 10 '!$I403</f>
        <v>0</v>
      </c>
      <c r="M60" s="335">
        <f>' 11 '!$I403</f>
        <v>0</v>
      </c>
      <c r="N60" s="335">
        <f>' 12 '!$I403</f>
        <v>0</v>
      </c>
      <c r="O60" s="336">
        <f t="shared" si="3"/>
        <v>0</v>
      </c>
      <c r="Q60" s="231"/>
    </row>
    <row r="61" spans="1:17" x14ac:dyDescent="0.25">
      <c r="A61" s="527" t="str">
        <f ca="1">' 01 '!A404</f>
        <v>Bruttolohn</v>
      </c>
      <c r="B61" s="528"/>
      <c r="C61" s="335">
        <f ca="1">' 01 '!$I404</f>
        <v>0</v>
      </c>
      <c r="D61" s="335">
        <f ca="1">' 02 '!$I404</f>
        <v>0</v>
      </c>
      <c r="E61" s="335">
        <f ca="1">' 03 '!$I404</f>
        <v>0</v>
      </c>
      <c r="F61" s="335">
        <f ca="1">' 04 '!$I404</f>
        <v>0</v>
      </c>
      <c r="G61" s="335">
        <f ca="1">' 05 '!$I404</f>
        <v>0</v>
      </c>
      <c r="H61" s="335">
        <f ca="1">' 06 '!$I404</f>
        <v>0</v>
      </c>
      <c r="I61" s="335">
        <f ca="1">' 07 '!$I404</f>
        <v>0</v>
      </c>
      <c r="J61" s="335">
        <f ca="1">' 08 '!$I404</f>
        <v>0</v>
      </c>
      <c r="K61" s="335">
        <f ca="1">' 09 '!$I404</f>
        <v>0</v>
      </c>
      <c r="L61" s="335">
        <f ca="1">' 10 '!$I404</f>
        <v>0</v>
      </c>
      <c r="M61" s="335">
        <f ca="1">' 11 '!$I404</f>
        <v>0</v>
      </c>
      <c r="N61" s="335">
        <f ca="1">' 12 '!$I404</f>
        <v>0</v>
      </c>
      <c r="O61" s="336">
        <f t="shared" ca="1" si="3"/>
        <v>0</v>
      </c>
      <c r="Q61" s="231"/>
    </row>
    <row r="62" spans="1:17" hidden="1" x14ac:dyDescent="0.25">
      <c r="A62" s="529">
        <f>' 01 '!A405</f>
        <v>0</v>
      </c>
      <c r="B62" s="528"/>
      <c r="C62" s="335">
        <f>' 01 '!$I405</f>
        <v>0</v>
      </c>
      <c r="D62" s="335">
        <f>' 02 '!$I405</f>
        <v>0</v>
      </c>
      <c r="E62" s="335">
        <f>' 03 '!$I405</f>
        <v>0</v>
      </c>
      <c r="F62" s="335">
        <f>' 04 '!$I405</f>
        <v>0</v>
      </c>
      <c r="G62" s="335">
        <f>' 05 '!$I405</f>
        <v>0</v>
      </c>
      <c r="H62" s="335">
        <f>' 06 '!$I405</f>
        <v>0</v>
      </c>
      <c r="I62" s="335">
        <f>' 07 '!$I405</f>
        <v>0</v>
      </c>
      <c r="J62" s="335">
        <f>' 08 '!$I405</f>
        <v>0</v>
      </c>
      <c r="K62" s="335">
        <f>' 09 '!$I405</f>
        <v>0</v>
      </c>
      <c r="L62" s="335">
        <f>' 10 '!$I405</f>
        <v>0</v>
      </c>
      <c r="M62" s="335">
        <f>' 11 '!$I405</f>
        <v>0</v>
      </c>
      <c r="N62" s="335">
        <f>' 12 '!$I405</f>
        <v>0</v>
      </c>
      <c r="O62" s="336">
        <f t="shared" si="3"/>
        <v>0</v>
      </c>
      <c r="Q62" s="231"/>
    </row>
    <row r="63" spans="1:17" x14ac:dyDescent="0.25">
      <c r="A63" s="527" t="str">
        <f ca="1">' 01 '!A406</f>
        <v>Sozialversicherungsabzüge</v>
      </c>
      <c r="B63" s="528"/>
      <c r="C63" s="335">
        <f>' 01 '!$I406</f>
        <v>0</v>
      </c>
      <c r="D63" s="335">
        <f>' 02 '!$I406</f>
        <v>0</v>
      </c>
      <c r="E63" s="335">
        <f>' 03 '!$I406</f>
        <v>0</v>
      </c>
      <c r="F63" s="335">
        <f>' 04 '!$I406</f>
        <v>0</v>
      </c>
      <c r="G63" s="335">
        <f>' 05 '!$I406</f>
        <v>0</v>
      </c>
      <c r="H63" s="335">
        <f>' 06 '!$I406</f>
        <v>0</v>
      </c>
      <c r="I63" s="335">
        <f>' 07 '!$I406</f>
        <v>0</v>
      </c>
      <c r="J63" s="335">
        <f>' 08 '!$I406</f>
        <v>0</v>
      </c>
      <c r="K63" s="335">
        <f>' 09 '!$I406</f>
        <v>0</v>
      </c>
      <c r="L63" s="335">
        <f>' 10 '!$I406</f>
        <v>0</v>
      </c>
      <c r="M63" s="335">
        <f>' 11 '!$I406</f>
        <v>0</v>
      </c>
      <c r="N63" s="335">
        <f>' 12 '!$I406</f>
        <v>0</v>
      </c>
      <c r="O63" s="336">
        <f t="shared" si="3"/>
        <v>0</v>
      </c>
      <c r="Q63" s="231"/>
    </row>
    <row r="64" spans="1:17" x14ac:dyDescent="0.25">
      <c r="A64" s="527" t="str">
        <f ca="1">' 01 '!A407</f>
        <v>AHV/IV/EO</v>
      </c>
      <c r="B64" s="528"/>
      <c r="C64" s="335">
        <f ca="1">' 01 '!$I407</f>
        <v>0</v>
      </c>
      <c r="D64" s="335">
        <f ca="1">' 02 '!$I407</f>
        <v>0</v>
      </c>
      <c r="E64" s="335">
        <f ca="1">' 03 '!$I407</f>
        <v>0</v>
      </c>
      <c r="F64" s="335">
        <f ca="1">' 04 '!$I407</f>
        <v>0</v>
      </c>
      <c r="G64" s="335">
        <f ca="1">' 05 '!$I407</f>
        <v>0</v>
      </c>
      <c r="H64" s="335">
        <f ca="1">' 06 '!$I407</f>
        <v>0</v>
      </c>
      <c r="I64" s="335">
        <f ca="1">' 07 '!$I407</f>
        <v>0</v>
      </c>
      <c r="J64" s="335">
        <f ca="1">' 08 '!$I407</f>
        <v>0</v>
      </c>
      <c r="K64" s="335">
        <f ca="1">' 09 '!$I407</f>
        <v>0</v>
      </c>
      <c r="L64" s="335">
        <f ca="1">' 10 '!$I407</f>
        <v>0</v>
      </c>
      <c r="M64" s="335">
        <f ca="1">' 11 '!$I407</f>
        <v>0</v>
      </c>
      <c r="N64" s="335">
        <f ca="1">' 12 '!$I407</f>
        <v>0</v>
      </c>
      <c r="O64" s="336">
        <f t="shared" ca="1" si="3"/>
        <v>0</v>
      </c>
      <c r="Q64" s="231">
        <v>9</v>
      </c>
    </row>
    <row r="65" spans="1:18" x14ac:dyDescent="0.25">
      <c r="A65" s="527" t="str">
        <f ca="1">' 01 '!A408</f>
        <v>Arbeitslosenversicherung (ALV)</v>
      </c>
      <c r="B65" s="528"/>
      <c r="C65" s="335">
        <f ca="1">' 01 '!$I408</f>
        <v>0</v>
      </c>
      <c r="D65" s="335">
        <f ca="1">' 02 '!$I408</f>
        <v>0</v>
      </c>
      <c r="E65" s="335">
        <f ca="1">' 03 '!$I408</f>
        <v>0</v>
      </c>
      <c r="F65" s="335">
        <f ca="1">' 04 '!$I408</f>
        <v>0</v>
      </c>
      <c r="G65" s="335">
        <f ca="1">' 05 '!$I408</f>
        <v>0</v>
      </c>
      <c r="H65" s="335">
        <f ca="1">' 06 '!$I408</f>
        <v>0</v>
      </c>
      <c r="I65" s="335">
        <f ca="1">' 07 '!$I408</f>
        <v>0</v>
      </c>
      <c r="J65" s="335">
        <f ca="1">' 08 '!$I408</f>
        <v>0</v>
      </c>
      <c r="K65" s="335">
        <f ca="1">' 09 '!$I408</f>
        <v>0</v>
      </c>
      <c r="L65" s="335">
        <f ca="1">' 10 '!$I408</f>
        <v>0</v>
      </c>
      <c r="M65" s="335">
        <f ca="1">' 11 '!$I408</f>
        <v>0</v>
      </c>
      <c r="N65" s="335">
        <f ca="1">' 12 '!$I408</f>
        <v>0</v>
      </c>
      <c r="O65" s="336">
        <f t="shared" ca="1" si="3"/>
        <v>0</v>
      </c>
      <c r="Q65" s="231">
        <v>9</v>
      </c>
    </row>
    <row r="66" spans="1:18" x14ac:dyDescent="0.25">
      <c r="A66" s="531" t="str">
        <f ca="1">' 01 '!A409</f>
        <v>Familienausgleichskasse</v>
      </c>
      <c r="B66" s="528"/>
      <c r="C66" s="335">
        <f ca="1">' 01 '!$I409</f>
        <v>0</v>
      </c>
      <c r="D66" s="335">
        <f ca="1">' 02 '!$I409</f>
        <v>0</v>
      </c>
      <c r="E66" s="335">
        <f ca="1">' 03 '!$I409</f>
        <v>0</v>
      </c>
      <c r="F66" s="335">
        <f ca="1">' 04 '!$I409</f>
        <v>0</v>
      </c>
      <c r="G66" s="335">
        <f ca="1">' 05 '!$I409</f>
        <v>0</v>
      </c>
      <c r="H66" s="335">
        <f ca="1">' 06 '!$I409</f>
        <v>0</v>
      </c>
      <c r="I66" s="335">
        <f ca="1">' 07 '!$I409</f>
        <v>0</v>
      </c>
      <c r="J66" s="335">
        <f ca="1">' 08 '!$I409</f>
        <v>0</v>
      </c>
      <c r="K66" s="335">
        <f ca="1">' 09 '!$I409</f>
        <v>0</v>
      </c>
      <c r="L66" s="335">
        <f ca="1">' 10 '!$I409</f>
        <v>0</v>
      </c>
      <c r="M66" s="335">
        <f ca="1">' 11 '!$I409</f>
        <v>0</v>
      </c>
      <c r="N66" s="335">
        <f ca="1">' 12 '!$I409</f>
        <v>0</v>
      </c>
      <c r="O66" s="336">
        <f t="shared" ca="1" si="3"/>
        <v>0</v>
      </c>
      <c r="P66" s="96"/>
      <c r="Q66" s="231">
        <v>9</v>
      </c>
    </row>
    <row r="67" spans="1:18" x14ac:dyDescent="0.25">
      <c r="A67" s="527" t="str">
        <f ca="1">' 01 '!A410</f>
        <v>Berufliche Vorsorge (Pensionskassenbeitrag)</v>
      </c>
      <c r="B67" s="528"/>
      <c r="C67" s="335">
        <f ca="1">' 01 '!$I410</f>
        <v>0</v>
      </c>
      <c r="D67" s="335">
        <f ca="1">' 02 '!$I410</f>
        <v>0</v>
      </c>
      <c r="E67" s="335">
        <f ca="1">' 03 '!$I410</f>
        <v>0</v>
      </c>
      <c r="F67" s="335">
        <f ca="1">' 04 '!$I410</f>
        <v>0</v>
      </c>
      <c r="G67" s="335">
        <f ca="1">' 05 '!$I410</f>
        <v>0</v>
      </c>
      <c r="H67" s="335">
        <f ca="1">' 06 '!$I410</f>
        <v>0</v>
      </c>
      <c r="I67" s="335">
        <f ca="1">' 07 '!$I410</f>
        <v>0</v>
      </c>
      <c r="J67" s="335">
        <f ca="1">' 08 '!$I410</f>
        <v>0</v>
      </c>
      <c r="K67" s="335">
        <f ca="1">' 09 '!$I410</f>
        <v>0</v>
      </c>
      <c r="L67" s="335">
        <f ca="1">' 10 '!$I410</f>
        <v>0</v>
      </c>
      <c r="M67" s="335">
        <f ca="1">' 11 '!$I410</f>
        <v>0</v>
      </c>
      <c r="N67" s="335">
        <f ca="1">' 12 '!$I410</f>
        <v>0</v>
      </c>
      <c r="O67" s="336">
        <f t="shared" ca="1" si="3"/>
        <v>0</v>
      </c>
      <c r="Q67" s="231">
        <v>10</v>
      </c>
    </row>
    <row r="68" spans="1:18" x14ac:dyDescent="0.25">
      <c r="A68" s="527" t="str">
        <f ca="1">' 01 '!A411</f>
        <v>Nichtberufsunfallversicherung (NBU)</v>
      </c>
      <c r="B68" s="528"/>
      <c r="C68" s="335">
        <f ca="1">' 01 '!$I411</f>
        <v>0</v>
      </c>
      <c r="D68" s="335">
        <f ca="1">' 02 '!$I411</f>
        <v>0</v>
      </c>
      <c r="E68" s="335">
        <f ca="1">' 03 '!$I411</f>
        <v>0</v>
      </c>
      <c r="F68" s="335">
        <f ca="1">' 04 '!$I411</f>
        <v>0</v>
      </c>
      <c r="G68" s="335">
        <f ca="1">' 05 '!$I411</f>
        <v>0</v>
      </c>
      <c r="H68" s="335">
        <f ca="1">' 06 '!$I411</f>
        <v>0</v>
      </c>
      <c r="I68" s="335">
        <f ca="1">' 07 '!$I411</f>
        <v>0</v>
      </c>
      <c r="J68" s="335">
        <f ca="1">' 08 '!$I411</f>
        <v>0</v>
      </c>
      <c r="K68" s="335">
        <f ca="1">' 09 '!$I411</f>
        <v>0</v>
      </c>
      <c r="L68" s="335">
        <f ca="1">' 10 '!$I411</f>
        <v>0</v>
      </c>
      <c r="M68" s="335">
        <f ca="1">' 11 '!$I411</f>
        <v>0</v>
      </c>
      <c r="N68" s="335">
        <f ca="1">' 12 '!$I411</f>
        <v>0</v>
      </c>
      <c r="O68" s="336">
        <f t="shared" ca="1" si="3"/>
        <v>0</v>
      </c>
      <c r="Q68" s="231">
        <v>9</v>
      </c>
    </row>
    <row r="69" spans="1:18" x14ac:dyDescent="0.25">
      <c r="A69" s="527" t="str">
        <f ca="1">' 01 '!A412</f>
        <v>Krankentaggeldversicherung</v>
      </c>
      <c r="B69" s="528"/>
      <c r="C69" s="335">
        <f ca="1">' 01 '!$I412</f>
        <v>0</v>
      </c>
      <c r="D69" s="335">
        <f ca="1">' 02 '!$I412</f>
        <v>0</v>
      </c>
      <c r="E69" s="335">
        <f ca="1">' 03 '!$I412</f>
        <v>0</v>
      </c>
      <c r="F69" s="335">
        <f ca="1">' 04 '!$I412</f>
        <v>0</v>
      </c>
      <c r="G69" s="335">
        <f ca="1">' 05 '!$I412</f>
        <v>0</v>
      </c>
      <c r="H69" s="335">
        <f ca="1">' 06 '!$I412</f>
        <v>0</v>
      </c>
      <c r="I69" s="335">
        <f ca="1">' 07 '!$I412</f>
        <v>0</v>
      </c>
      <c r="J69" s="335">
        <f ca="1">' 08 '!$I412</f>
        <v>0</v>
      </c>
      <c r="K69" s="335">
        <f ca="1">' 09 '!$I412</f>
        <v>0</v>
      </c>
      <c r="L69" s="335">
        <f ca="1">' 10 '!$I412</f>
        <v>0</v>
      </c>
      <c r="M69" s="335">
        <f ca="1">' 11 '!$I412</f>
        <v>0</v>
      </c>
      <c r="N69" s="335">
        <f ca="1">' 12 '!$I412</f>
        <v>0</v>
      </c>
      <c r="O69" s="336">
        <f t="shared" ca="1" si="3"/>
        <v>0</v>
      </c>
      <c r="P69" s="96" t="s">
        <v>1150</v>
      </c>
      <c r="Q69" s="231"/>
      <c r="R69" s="60"/>
    </row>
    <row r="70" spans="1:18" hidden="1" x14ac:dyDescent="0.25">
      <c r="A70" s="529">
        <f>' 01 '!A413</f>
        <v>0</v>
      </c>
      <c r="B70" s="528"/>
      <c r="C70" s="335">
        <f>' 01 '!$I413</f>
        <v>0</v>
      </c>
      <c r="D70" s="335">
        <f>' 02 '!$I413</f>
        <v>0</v>
      </c>
      <c r="E70" s="335">
        <f>' 03 '!$I413</f>
        <v>0</v>
      </c>
      <c r="F70" s="335">
        <f>' 04 '!$I413</f>
        <v>0</v>
      </c>
      <c r="G70" s="335">
        <f>' 05 '!$I413</f>
        <v>0</v>
      </c>
      <c r="H70" s="335">
        <f>' 06 '!$I413</f>
        <v>0</v>
      </c>
      <c r="I70" s="335">
        <f>' 07 '!$I413</f>
        <v>0</v>
      </c>
      <c r="J70" s="335">
        <f>' 08 '!$I413</f>
        <v>0</v>
      </c>
      <c r="K70" s="335">
        <f>' 09 '!$I413</f>
        <v>0</v>
      </c>
      <c r="L70" s="335">
        <f>' 10 '!$I413</f>
        <v>0</v>
      </c>
      <c r="M70" s="335">
        <f>' 11 '!$I413</f>
        <v>0</v>
      </c>
      <c r="N70" s="335">
        <f>' 12 '!$I413</f>
        <v>0</v>
      </c>
      <c r="O70" s="336">
        <f t="shared" si="3"/>
        <v>0</v>
      </c>
      <c r="Q70" s="231"/>
    </row>
    <row r="71" spans="1:18" x14ac:dyDescent="0.25">
      <c r="A71" s="530" t="str">
        <f ca="1">' 01 '!A414</f>
        <v>Korrekturen Sozialversicherungsbeiträge</v>
      </c>
      <c r="B71" s="528"/>
      <c r="C71" s="335">
        <f>' 01 '!$I414</f>
        <v>0</v>
      </c>
      <c r="D71" s="335">
        <f>' 02 '!$I414</f>
        <v>0</v>
      </c>
      <c r="E71" s="335">
        <f>' 03 '!$I414</f>
        <v>0</v>
      </c>
      <c r="F71" s="335">
        <f>' 04 '!$I414</f>
        <v>0</v>
      </c>
      <c r="G71" s="335">
        <f>' 05 '!$I414</f>
        <v>0</v>
      </c>
      <c r="H71" s="335">
        <f>' 06 '!$I414</f>
        <v>0</v>
      </c>
      <c r="I71" s="335">
        <f>' 07 '!$I414</f>
        <v>0</v>
      </c>
      <c r="J71" s="335">
        <f>' 08 '!$I414</f>
        <v>0</v>
      </c>
      <c r="K71" s="335">
        <f>' 09 '!$I414</f>
        <v>0</v>
      </c>
      <c r="L71" s="335">
        <f>' 10 '!$I414</f>
        <v>0</v>
      </c>
      <c r="M71" s="335">
        <f>' 11 '!$I414</f>
        <v>0</v>
      </c>
      <c r="N71" s="335">
        <f>' 12 '!$I414</f>
        <v>0</v>
      </c>
      <c r="O71" s="336">
        <f t="shared" si="3"/>
        <v>0</v>
      </c>
      <c r="Q71" s="231"/>
    </row>
    <row r="72" spans="1:18" x14ac:dyDescent="0.25">
      <c r="A72" s="527" t="str">
        <f ca="1">' 01 '!A415</f>
        <v>……AHV/IV/EO Prämien</v>
      </c>
      <c r="B72" s="528"/>
      <c r="C72" s="335">
        <f ca="1">' 01 '!$I415</f>
        <v>0</v>
      </c>
      <c r="D72" s="335">
        <f ca="1">' 02 '!$I415</f>
        <v>0</v>
      </c>
      <c r="E72" s="335">
        <f ca="1">' 03 '!$I415</f>
        <v>0</v>
      </c>
      <c r="F72" s="335">
        <f ca="1">' 04 '!$I415</f>
        <v>0</v>
      </c>
      <c r="G72" s="335">
        <f ca="1">' 05 '!$I415</f>
        <v>0</v>
      </c>
      <c r="H72" s="335">
        <f ca="1">' 06 '!$I415</f>
        <v>0</v>
      </c>
      <c r="I72" s="335">
        <f ca="1">' 07 '!$I415</f>
        <v>0</v>
      </c>
      <c r="J72" s="335">
        <f ca="1">' 08 '!$I415</f>
        <v>0</v>
      </c>
      <c r="K72" s="335">
        <f ca="1">' 09 '!$I415</f>
        <v>0</v>
      </c>
      <c r="L72" s="335">
        <f ca="1">' 10 '!$I415</f>
        <v>0</v>
      </c>
      <c r="M72" s="335">
        <f ca="1">' 11 '!$I415</f>
        <v>0</v>
      </c>
      <c r="N72" s="335">
        <f ca="1">' 12 '!$I415</f>
        <v>0</v>
      </c>
      <c r="O72" s="336">
        <f ca="1">SUM(C72:N72)</f>
        <v>0</v>
      </c>
      <c r="Q72" s="231">
        <v>9</v>
      </c>
    </row>
    <row r="73" spans="1:18" hidden="1" x14ac:dyDescent="0.25">
      <c r="A73" s="529" t="str">
        <f ca="1">' 01 '!A416</f>
        <v xml:space="preserve">      </v>
      </c>
      <c r="B73" s="528"/>
      <c r="C73" s="335">
        <f>' 01 '!$I416</f>
        <v>0</v>
      </c>
      <c r="D73" s="335">
        <f>' 02 '!$I416</f>
        <v>0</v>
      </c>
      <c r="E73" s="335">
        <f>' 03 '!$I416</f>
        <v>0</v>
      </c>
      <c r="F73" s="335">
        <f>' 04 '!$I416</f>
        <v>0</v>
      </c>
      <c r="G73" s="335">
        <f>' 05 '!$I416</f>
        <v>0</v>
      </c>
      <c r="H73" s="335">
        <f>' 06 '!$I416</f>
        <v>0</v>
      </c>
      <c r="I73" s="335">
        <f>' 07 '!$I416</f>
        <v>0</v>
      </c>
      <c r="J73" s="335">
        <f>' 08 '!$I416</f>
        <v>0</v>
      </c>
      <c r="K73" s="335">
        <f>' 09 '!$I416</f>
        <v>0</v>
      </c>
      <c r="L73" s="335">
        <f>' 10 '!$I416</f>
        <v>0</v>
      </c>
      <c r="M73" s="335">
        <f>' 11 '!$I416</f>
        <v>0</v>
      </c>
      <c r="N73" s="335">
        <f>' 12 '!$I416</f>
        <v>0</v>
      </c>
      <c r="O73" s="336">
        <f>SUM(C73:N73)</f>
        <v>0</v>
      </c>
      <c r="Q73" s="231"/>
    </row>
    <row r="74" spans="1:18" x14ac:dyDescent="0.25">
      <c r="A74" s="527" t="str">
        <f ca="1">' 01 '!A417</f>
        <v>……ALV Prämien</v>
      </c>
      <c r="B74" s="528"/>
      <c r="C74" s="335">
        <f ca="1">' 01 '!$I417</f>
        <v>0</v>
      </c>
      <c r="D74" s="335">
        <f ca="1">' 02 '!$I417</f>
        <v>0</v>
      </c>
      <c r="E74" s="335">
        <f ca="1">' 03 '!$I417</f>
        <v>0</v>
      </c>
      <c r="F74" s="335">
        <f ca="1">' 04 '!$I417</f>
        <v>0</v>
      </c>
      <c r="G74" s="335">
        <f ca="1">' 05 '!$I417</f>
        <v>0</v>
      </c>
      <c r="H74" s="335">
        <f ca="1">' 06 '!$I417</f>
        <v>0</v>
      </c>
      <c r="I74" s="335">
        <f ca="1">' 07 '!$I417</f>
        <v>0</v>
      </c>
      <c r="J74" s="335">
        <f ca="1">' 08 '!$I417</f>
        <v>0</v>
      </c>
      <c r="K74" s="335">
        <f ca="1">' 09 '!$I417</f>
        <v>0</v>
      </c>
      <c r="L74" s="335">
        <f ca="1">' 10 '!$I417</f>
        <v>0</v>
      </c>
      <c r="M74" s="335">
        <f ca="1">' 11 '!$I417</f>
        <v>0</v>
      </c>
      <c r="N74" s="335">
        <f ca="1">' 12 '!$I417</f>
        <v>0</v>
      </c>
      <c r="O74" s="336">
        <f ca="1">SUM(C74:N74)</f>
        <v>0</v>
      </c>
      <c r="Q74" s="231">
        <v>9</v>
      </c>
    </row>
    <row r="75" spans="1:18" hidden="1" x14ac:dyDescent="0.25">
      <c r="A75" s="529" t="str">
        <f ca="1">' 01 '!A418</f>
        <v xml:space="preserve">      </v>
      </c>
      <c r="B75" s="528"/>
      <c r="C75" s="335">
        <f>' 01 '!$I418</f>
        <v>0</v>
      </c>
      <c r="D75" s="335">
        <f>' 02 '!$I418</f>
        <v>0</v>
      </c>
      <c r="E75" s="335">
        <f>' 03 '!$I418</f>
        <v>0</v>
      </c>
      <c r="F75" s="335">
        <f>' 04 '!$I418</f>
        <v>0</v>
      </c>
      <c r="G75" s="335">
        <f>' 05 '!$I418</f>
        <v>0</v>
      </c>
      <c r="H75" s="335">
        <f>' 06 '!$I418</f>
        <v>0</v>
      </c>
      <c r="I75" s="335">
        <f>' 07 '!$I418</f>
        <v>0</v>
      </c>
      <c r="J75" s="335">
        <f>' 08 '!$I418</f>
        <v>0</v>
      </c>
      <c r="K75" s="335">
        <f>' 09 '!$I418</f>
        <v>0</v>
      </c>
      <c r="L75" s="335">
        <f>' 10 '!$I418</f>
        <v>0</v>
      </c>
      <c r="M75" s="335">
        <f>' 11 '!$I418</f>
        <v>0</v>
      </c>
      <c r="N75" s="335">
        <f>' 12 '!$I418</f>
        <v>0</v>
      </c>
      <c r="O75" s="336">
        <f>SUM(C75:N75)</f>
        <v>0</v>
      </c>
      <c r="Q75" s="231"/>
    </row>
    <row r="76" spans="1:18" x14ac:dyDescent="0.25">
      <c r="A76" s="527" t="str">
        <f ca="1">' 01 '!A419</f>
        <v>……NBU</v>
      </c>
      <c r="B76" s="528"/>
      <c r="C76" s="335">
        <f ca="1">' 01 '!$I419</f>
        <v>0</v>
      </c>
      <c r="D76" s="335">
        <f ca="1">' 02 '!$I419</f>
        <v>0</v>
      </c>
      <c r="E76" s="335">
        <f ca="1">' 03 '!$I419</f>
        <v>0</v>
      </c>
      <c r="F76" s="335">
        <f ca="1">' 04 '!$I419</f>
        <v>0</v>
      </c>
      <c r="G76" s="335">
        <f ca="1">' 05 '!$I419</f>
        <v>0</v>
      </c>
      <c r="H76" s="335">
        <f ca="1">' 06 '!$I419</f>
        <v>0</v>
      </c>
      <c r="I76" s="335">
        <f ca="1">' 07 '!$I419</f>
        <v>0</v>
      </c>
      <c r="J76" s="335">
        <f ca="1">' 08 '!$I419</f>
        <v>0</v>
      </c>
      <c r="K76" s="335">
        <f ca="1">' 09 '!$I419</f>
        <v>0</v>
      </c>
      <c r="L76" s="335">
        <f ca="1">' 10 '!$I419</f>
        <v>0</v>
      </c>
      <c r="M76" s="335">
        <f ca="1">' 11 '!$I419</f>
        <v>0</v>
      </c>
      <c r="N76" s="335">
        <f ca="1">' 12 '!$I419</f>
        <v>0</v>
      </c>
      <c r="O76" s="336">
        <f t="shared" ca="1" si="3"/>
        <v>0</v>
      </c>
      <c r="Q76" s="231">
        <v>9</v>
      </c>
    </row>
    <row r="77" spans="1:18" hidden="1" x14ac:dyDescent="0.25">
      <c r="A77" s="529" t="str">
        <f ca="1">' 01 '!A420</f>
        <v xml:space="preserve">      </v>
      </c>
      <c r="B77" s="528"/>
      <c r="C77" s="335">
        <f>' 01 '!$I420</f>
        <v>0</v>
      </c>
      <c r="D77" s="335">
        <f>' 02 '!$I420</f>
        <v>0</v>
      </c>
      <c r="E77" s="335">
        <f>' 03 '!$I420</f>
        <v>0</v>
      </c>
      <c r="F77" s="335">
        <f>' 04 '!$I420</f>
        <v>0</v>
      </c>
      <c r="G77" s="335">
        <f>' 05 '!$I420</f>
        <v>0</v>
      </c>
      <c r="H77" s="335">
        <f>' 06 '!$I420</f>
        <v>0</v>
      </c>
      <c r="I77" s="335">
        <f>' 07 '!$I420</f>
        <v>0</v>
      </c>
      <c r="J77" s="335">
        <f>' 08 '!$I420</f>
        <v>0</v>
      </c>
      <c r="K77" s="335">
        <f>' 09 '!$I420</f>
        <v>0</v>
      </c>
      <c r="L77" s="335">
        <f>' 10 '!$I420</f>
        <v>0</v>
      </c>
      <c r="M77" s="335">
        <f>' 11 '!$I420</f>
        <v>0</v>
      </c>
      <c r="N77" s="335">
        <f>' 12 '!$I420</f>
        <v>0</v>
      </c>
      <c r="O77" s="336">
        <f t="shared" ref="O77:O98" si="5">SUM(C77:N77)</f>
        <v>0</v>
      </c>
      <c r="Q77" s="231"/>
    </row>
    <row r="78" spans="1:18" x14ac:dyDescent="0.25">
      <c r="A78" s="527" t="str">
        <f ca="1">' 01 '!A421</f>
        <v>……Berufliche Vorsorge (Pensionskassenbeitrag)</v>
      </c>
      <c r="B78" s="528"/>
      <c r="C78" s="335">
        <f ca="1">' 01 '!$I421</f>
        <v>0</v>
      </c>
      <c r="D78" s="335">
        <f ca="1">' 02 '!$I421</f>
        <v>0</v>
      </c>
      <c r="E78" s="335">
        <f ca="1">' 03 '!$I421</f>
        <v>0</v>
      </c>
      <c r="F78" s="335">
        <f ca="1">' 04 '!$I421</f>
        <v>0</v>
      </c>
      <c r="G78" s="335">
        <f ca="1">' 05 '!$I421</f>
        <v>0</v>
      </c>
      <c r="H78" s="335">
        <f ca="1">' 06 '!$I421</f>
        <v>0</v>
      </c>
      <c r="I78" s="335">
        <f ca="1">' 07 '!$I421</f>
        <v>0</v>
      </c>
      <c r="J78" s="335">
        <f ca="1">' 08 '!$I421</f>
        <v>0</v>
      </c>
      <c r="K78" s="335">
        <f ca="1">' 09 '!$I421</f>
        <v>0</v>
      </c>
      <c r="L78" s="335">
        <f ca="1">' 10 '!$I421</f>
        <v>0</v>
      </c>
      <c r="M78" s="335">
        <f ca="1">' 11 '!$I421</f>
        <v>0</v>
      </c>
      <c r="N78" s="335">
        <f ca="1">' 12 '!$I421</f>
        <v>0</v>
      </c>
      <c r="O78" s="336">
        <f t="shared" ca="1" si="5"/>
        <v>0</v>
      </c>
      <c r="Q78" s="231">
        <v>10</v>
      </c>
    </row>
    <row r="79" spans="1:18" hidden="1" x14ac:dyDescent="0.25">
      <c r="A79" s="529" t="str">
        <f ca="1">' 01 '!A422</f>
        <v xml:space="preserve">      </v>
      </c>
      <c r="B79" s="528"/>
      <c r="C79" s="335">
        <f>' 01 '!$I422</f>
        <v>0</v>
      </c>
      <c r="D79" s="335">
        <f>' 02 '!$I422</f>
        <v>0</v>
      </c>
      <c r="E79" s="335">
        <f>' 03 '!$I422</f>
        <v>0</v>
      </c>
      <c r="F79" s="335">
        <f>' 04 '!$I422</f>
        <v>0</v>
      </c>
      <c r="G79" s="335">
        <f>' 05 '!$I422</f>
        <v>0</v>
      </c>
      <c r="H79" s="335">
        <f>' 06 '!$I422</f>
        <v>0</v>
      </c>
      <c r="I79" s="335">
        <f>' 07 '!$I422</f>
        <v>0</v>
      </c>
      <c r="J79" s="335">
        <f>' 08 '!$I422</f>
        <v>0</v>
      </c>
      <c r="K79" s="335">
        <f>' 09 '!$I422</f>
        <v>0</v>
      </c>
      <c r="L79" s="335">
        <f>' 10 '!$I422</f>
        <v>0</v>
      </c>
      <c r="M79" s="335">
        <f>' 11 '!$I422</f>
        <v>0</v>
      </c>
      <c r="N79" s="335">
        <f>' 12 '!$I422</f>
        <v>0</v>
      </c>
      <c r="O79" s="336">
        <f t="shared" si="5"/>
        <v>0</v>
      </c>
      <c r="Q79" s="231"/>
    </row>
    <row r="80" spans="1:18" x14ac:dyDescent="0.25">
      <c r="A80" s="527" t="str">
        <f ca="1">' 01 '!A423</f>
        <v>……Familienzulage</v>
      </c>
      <c r="B80" s="528"/>
      <c r="C80" s="335">
        <f ca="1">' 01 '!$I423</f>
        <v>0</v>
      </c>
      <c r="D80" s="335">
        <f ca="1">' 02 '!$I423</f>
        <v>0</v>
      </c>
      <c r="E80" s="335">
        <f ca="1">' 03 '!$I423</f>
        <v>0</v>
      </c>
      <c r="F80" s="335">
        <f ca="1">' 04 '!$I423</f>
        <v>0</v>
      </c>
      <c r="G80" s="335">
        <f ca="1">' 05 '!$I423</f>
        <v>0</v>
      </c>
      <c r="H80" s="335">
        <f ca="1">' 06 '!$I423</f>
        <v>0</v>
      </c>
      <c r="I80" s="335">
        <f ca="1">' 07 '!$I423</f>
        <v>0</v>
      </c>
      <c r="J80" s="335">
        <f ca="1">' 08 '!$I423</f>
        <v>0</v>
      </c>
      <c r="K80" s="335">
        <f ca="1">' 09 '!$I423</f>
        <v>0</v>
      </c>
      <c r="L80" s="335">
        <f ca="1">' 10 '!$I423</f>
        <v>0</v>
      </c>
      <c r="M80" s="335">
        <f ca="1">' 11 '!$I423</f>
        <v>0</v>
      </c>
      <c r="N80" s="335">
        <f ca="1">' 12 '!$I423</f>
        <v>0</v>
      </c>
      <c r="O80" s="336">
        <f t="shared" ca="1" si="5"/>
        <v>0</v>
      </c>
      <c r="Q80" s="231">
        <v>9</v>
      </c>
    </row>
    <row r="81" spans="1:21" hidden="1" x14ac:dyDescent="0.25">
      <c r="A81" s="529" t="str">
        <f ca="1">' 01 '!A424</f>
        <v xml:space="preserve">      </v>
      </c>
      <c r="B81" s="528"/>
      <c r="C81" s="335">
        <f>' 01 '!$I424</f>
        <v>0</v>
      </c>
      <c r="D81" s="335">
        <f>' 02 '!$I424</f>
        <v>0</v>
      </c>
      <c r="E81" s="335">
        <f>' 03 '!$I424</f>
        <v>0</v>
      </c>
      <c r="F81" s="335">
        <f>' 04 '!$I424</f>
        <v>0</v>
      </c>
      <c r="G81" s="335">
        <f>' 05 '!$I424</f>
        <v>0</v>
      </c>
      <c r="H81" s="335">
        <f>' 06 '!$I424</f>
        <v>0</v>
      </c>
      <c r="I81" s="335">
        <f>' 07 '!$I424</f>
        <v>0</v>
      </c>
      <c r="J81" s="335">
        <f>' 08 '!$I424</f>
        <v>0</v>
      </c>
      <c r="K81" s="335">
        <f>' 09 '!$I424</f>
        <v>0</v>
      </c>
      <c r="L81" s="335">
        <f>' 10 '!$I424</f>
        <v>0</v>
      </c>
      <c r="M81" s="335">
        <f>' 11 '!$I424</f>
        <v>0</v>
      </c>
      <c r="N81" s="335">
        <f>' 12 '!$I424</f>
        <v>0</v>
      </c>
      <c r="O81" s="336">
        <f t="shared" si="5"/>
        <v>0</v>
      </c>
      <c r="Q81" s="231"/>
    </row>
    <row r="82" spans="1:21" x14ac:dyDescent="0.25">
      <c r="A82" s="527" t="str">
        <f ca="1">' 01 '!A425</f>
        <v>……KTG</v>
      </c>
      <c r="B82" s="528"/>
      <c r="C82" s="335">
        <f ca="1">' 01 '!$I425</f>
        <v>0</v>
      </c>
      <c r="D82" s="335">
        <f ca="1">' 02 '!$I425</f>
        <v>0</v>
      </c>
      <c r="E82" s="335">
        <f ca="1">' 03 '!$I425</f>
        <v>0</v>
      </c>
      <c r="F82" s="335">
        <f ca="1">' 04 '!$I425</f>
        <v>0</v>
      </c>
      <c r="G82" s="335">
        <f ca="1">' 05 '!$I425</f>
        <v>0</v>
      </c>
      <c r="H82" s="335">
        <f ca="1">' 06 '!$I425</f>
        <v>0</v>
      </c>
      <c r="I82" s="335">
        <f ca="1">' 07 '!$I425</f>
        <v>0</v>
      </c>
      <c r="J82" s="335">
        <f ca="1">' 08 '!$I425</f>
        <v>0</v>
      </c>
      <c r="K82" s="335">
        <f ca="1">' 09 '!$I425</f>
        <v>0</v>
      </c>
      <c r="L82" s="335">
        <f ca="1">' 10 '!$I425</f>
        <v>0</v>
      </c>
      <c r="M82" s="335">
        <f ca="1">' 11 '!$I425</f>
        <v>0</v>
      </c>
      <c r="N82" s="335">
        <f ca="1">' 12 '!$I425</f>
        <v>0</v>
      </c>
      <c r="O82" s="336">
        <f t="shared" ca="1" si="5"/>
        <v>0</v>
      </c>
      <c r="P82" s="96" t="s">
        <v>1150</v>
      </c>
      <c r="Q82" s="231"/>
      <c r="R82" s="60"/>
    </row>
    <row r="83" spans="1:21" hidden="1" x14ac:dyDescent="0.25">
      <c r="A83" s="529" t="str">
        <f ca="1">' 01 '!A426</f>
        <v xml:space="preserve">      </v>
      </c>
      <c r="B83" s="528"/>
      <c r="C83" s="335">
        <f>' 01 '!$I426</f>
        <v>0</v>
      </c>
      <c r="D83" s="335">
        <f>' 02 '!$I426</f>
        <v>0</v>
      </c>
      <c r="E83" s="335">
        <f>' 03 '!$I426</f>
        <v>0</v>
      </c>
      <c r="F83" s="335">
        <f>' 04 '!$I426</f>
        <v>0</v>
      </c>
      <c r="G83" s="335">
        <f>' 05 '!$I426</f>
        <v>0</v>
      </c>
      <c r="H83" s="335">
        <f>' 06 '!$I426</f>
        <v>0</v>
      </c>
      <c r="I83" s="335">
        <f>' 07 '!$I426</f>
        <v>0</v>
      </c>
      <c r="J83" s="335">
        <f>' 08 '!$I426</f>
        <v>0</v>
      </c>
      <c r="K83" s="335">
        <f>' 09 '!$I426</f>
        <v>0</v>
      </c>
      <c r="L83" s="335">
        <f>' 10 '!$I426</f>
        <v>0</v>
      </c>
      <c r="M83" s="335">
        <f>' 11 '!$I426</f>
        <v>0</v>
      </c>
      <c r="N83" s="335">
        <f>' 12 '!$I426</f>
        <v>0</v>
      </c>
      <c r="O83" s="336">
        <f t="shared" si="5"/>
        <v>0</v>
      </c>
      <c r="Q83" s="231"/>
    </row>
    <row r="84" spans="1:21" hidden="1" x14ac:dyDescent="0.25">
      <c r="A84" s="529">
        <f>' 01 '!A427</f>
        <v>0</v>
      </c>
      <c r="B84" s="528"/>
      <c r="C84" s="335">
        <f>' 01 '!$I427</f>
        <v>0</v>
      </c>
      <c r="D84" s="335">
        <f>' 02 '!$I427</f>
        <v>0</v>
      </c>
      <c r="E84" s="335">
        <f>' 03 '!$I427</f>
        <v>0</v>
      </c>
      <c r="F84" s="335">
        <f>' 04 '!$I427</f>
        <v>0</v>
      </c>
      <c r="G84" s="335">
        <f>' 05 '!$I427</f>
        <v>0</v>
      </c>
      <c r="H84" s="335">
        <f>' 06 '!$I427</f>
        <v>0</v>
      </c>
      <c r="I84" s="335">
        <f>' 07 '!$I427</f>
        <v>0</v>
      </c>
      <c r="J84" s="335">
        <f>' 08 '!$I427</f>
        <v>0</v>
      </c>
      <c r="K84" s="335">
        <f>' 09 '!$I427</f>
        <v>0</v>
      </c>
      <c r="L84" s="335">
        <f>' 10 '!$I427</f>
        <v>0</v>
      </c>
      <c r="M84" s="335">
        <f>' 11 '!$I427</f>
        <v>0</v>
      </c>
      <c r="N84" s="335">
        <f>' 12 '!$I427</f>
        <v>0</v>
      </c>
      <c r="O84" s="336">
        <f t="shared" si="5"/>
        <v>0</v>
      </c>
      <c r="Q84" s="231"/>
    </row>
    <row r="85" spans="1:21" x14ac:dyDescent="0.25">
      <c r="A85" s="527" t="str">
        <f ca="1">' 01 '!A428</f>
        <v>Total Abzüge</v>
      </c>
      <c r="B85" s="528"/>
      <c r="C85" s="335">
        <f ca="1">' 01 '!$I428</f>
        <v>0</v>
      </c>
      <c r="D85" s="335">
        <f ca="1">' 02 '!$I428</f>
        <v>0</v>
      </c>
      <c r="E85" s="335">
        <f ca="1">' 03 '!$I428</f>
        <v>0</v>
      </c>
      <c r="F85" s="335">
        <f ca="1">' 04 '!$I428</f>
        <v>0</v>
      </c>
      <c r="G85" s="335">
        <f ca="1">' 05 '!$I428</f>
        <v>0</v>
      </c>
      <c r="H85" s="335">
        <f ca="1">' 06 '!$I428</f>
        <v>0</v>
      </c>
      <c r="I85" s="335">
        <f ca="1">' 07 '!$I428</f>
        <v>0</v>
      </c>
      <c r="J85" s="335">
        <f ca="1">' 08 '!$I428</f>
        <v>0</v>
      </c>
      <c r="K85" s="335">
        <f ca="1">' 09 '!$I428</f>
        <v>0</v>
      </c>
      <c r="L85" s="335">
        <f ca="1">' 10 '!$I428</f>
        <v>0</v>
      </c>
      <c r="M85" s="335">
        <f ca="1">' 11 '!$I428</f>
        <v>0</v>
      </c>
      <c r="N85" s="335">
        <f ca="1">' 12 '!$I428</f>
        <v>0</v>
      </c>
      <c r="O85" s="336">
        <f t="shared" ca="1" si="5"/>
        <v>0</v>
      </c>
      <c r="Q85" s="231"/>
      <c r="R85" s="603" t="s">
        <v>543</v>
      </c>
      <c r="S85" s="603" t="s">
        <v>544</v>
      </c>
      <c r="T85" s="603" t="s">
        <v>545</v>
      </c>
      <c r="U85" s="603" t="s">
        <v>546</v>
      </c>
    </row>
    <row r="86" spans="1:21" hidden="1" x14ac:dyDescent="0.25">
      <c r="A86" s="529">
        <f>' 01 '!A429</f>
        <v>0</v>
      </c>
      <c r="B86" s="528"/>
      <c r="C86" s="335">
        <f>' 01 '!$I429</f>
        <v>0</v>
      </c>
      <c r="D86" s="335">
        <f>' 02 '!$I429</f>
        <v>0</v>
      </c>
      <c r="E86" s="335">
        <f>' 03 '!$I429</f>
        <v>0</v>
      </c>
      <c r="F86" s="335">
        <f>' 04 '!$I429</f>
        <v>0</v>
      </c>
      <c r="G86" s="335">
        <f>' 05 '!$I429</f>
        <v>0</v>
      </c>
      <c r="H86" s="335">
        <f>' 06 '!$I429</f>
        <v>0</v>
      </c>
      <c r="I86" s="335">
        <f>' 07 '!$I429</f>
        <v>0</v>
      </c>
      <c r="J86" s="335">
        <f>' 08 '!$I429</f>
        <v>0</v>
      </c>
      <c r="K86" s="335">
        <f>' 09 '!$I429</f>
        <v>0</v>
      </c>
      <c r="L86" s="335">
        <f>' 10 '!$I429</f>
        <v>0</v>
      </c>
      <c r="M86" s="335">
        <f>' 11 '!$I429</f>
        <v>0</v>
      </c>
      <c r="N86" s="335">
        <f>' 12 '!$I429</f>
        <v>0</v>
      </c>
      <c r="O86" s="336">
        <f t="shared" si="5"/>
        <v>0</v>
      </c>
      <c r="Q86" s="231"/>
    </row>
    <row r="87" spans="1:21" x14ac:dyDescent="0.25">
      <c r="A87" s="527" t="str">
        <f ca="1">' 01 '!A430</f>
        <v>Nettolohn</v>
      </c>
      <c r="B87" s="528"/>
      <c r="C87" s="335">
        <f ca="1">' 01 '!$I430</f>
        <v>0</v>
      </c>
      <c r="D87" s="335">
        <f ca="1">' 02 '!$I430</f>
        <v>0</v>
      </c>
      <c r="E87" s="335">
        <f ca="1">' 03 '!$I430</f>
        <v>0</v>
      </c>
      <c r="F87" s="335">
        <f ca="1">' 04 '!$I430</f>
        <v>0</v>
      </c>
      <c r="G87" s="335">
        <f ca="1">' 05 '!$I430</f>
        <v>0</v>
      </c>
      <c r="H87" s="335">
        <f ca="1">' 06 '!$I430</f>
        <v>0</v>
      </c>
      <c r="I87" s="335">
        <f ca="1">' 07 '!$I430</f>
        <v>0</v>
      </c>
      <c r="J87" s="335">
        <f ca="1">' 08 '!$I430</f>
        <v>0</v>
      </c>
      <c r="K87" s="335">
        <f ca="1">' 09 '!$I430</f>
        <v>0</v>
      </c>
      <c r="L87" s="335">
        <f ca="1">' 10 '!$I430</f>
        <v>0</v>
      </c>
      <c r="M87" s="335">
        <f ca="1">' 11 '!$I430</f>
        <v>0</v>
      </c>
      <c r="N87" s="335">
        <f ca="1">' 12 '!$I430</f>
        <v>0</v>
      </c>
      <c r="O87" s="336">
        <f t="shared" ca="1" si="5"/>
        <v>0</v>
      </c>
      <c r="Q87" s="231">
        <v>11</v>
      </c>
    </row>
    <row r="88" spans="1:21" hidden="1" x14ac:dyDescent="0.25">
      <c r="A88" s="529">
        <f>' 01 '!A431</f>
        <v>0</v>
      </c>
      <c r="B88" s="528"/>
      <c r="C88" s="335">
        <f>' 01 '!$I431</f>
        <v>0</v>
      </c>
      <c r="D88" s="335">
        <f>' 02 '!$I431</f>
        <v>0</v>
      </c>
      <c r="E88" s="335">
        <f>' 03 '!$I431</f>
        <v>0</v>
      </c>
      <c r="F88" s="335">
        <f>' 04 '!$I431</f>
        <v>0</v>
      </c>
      <c r="G88" s="335">
        <f>' 05 '!$I431</f>
        <v>0</v>
      </c>
      <c r="H88" s="335">
        <f>' 06 '!$I431</f>
        <v>0</v>
      </c>
      <c r="I88" s="335">
        <f>' 07 '!$I431</f>
        <v>0</v>
      </c>
      <c r="J88" s="335">
        <f>' 08 '!$I431</f>
        <v>0</v>
      </c>
      <c r="K88" s="335">
        <f>' 09 '!$I431</f>
        <v>0</v>
      </c>
      <c r="L88" s="335">
        <f>' 10 '!$I431</f>
        <v>0</v>
      </c>
      <c r="M88" s="335">
        <f>' 11 '!$I431</f>
        <v>0</v>
      </c>
      <c r="N88" s="335">
        <f>' 12 '!$I431</f>
        <v>0</v>
      </c>
      <c r="O88" s="336">
        <f t="shared" si="5"/>
        <v>0</v>
      </c>
      <c r="Q88" s="231"/>
    </row>
    <row r="89" spans="1:21" x14ac:dyDescent="0.25">
      <c r="A89" s="527" t="str">
        <f ca="1">' 01 '!A432</f>
        <v>Quellensteuerabzug</v>
      </c>
      <c r="B89" s="528"/>
      <c r="C89" s="335">
        <f ca="1">' 01 '!$I432</f>
        <v>0</v>
      </c>
      <c r="D89" s="335">
        <f ca="1">' 02 '!$I432</f>
        <v>0</v>
      </c>
      <c r="E89" s="335">
        <f ca="1">' 03 '!$I432</f>
        <v>0</v>
      </c>
      <c r="F89" s="335">
        <f ca="1">' 04 '!$I432</f>
        <v>0</v>
      </c>
      <c r="G89" s="335">
        <f ca="1">' 05 '!$I432</f>
        <v>0</v>
      </c>
      <c r="H89" s="335">
        <f ca="1">' 06 '!$I432</f>
        <v>0</v>
      </c>
      <c r="I89" s="335">
        <f ca="1">' 07 '!$I432</f>
        <v>0</v>
      </c>
      <c r="J89" s="335">
        <f ca="1">' 08 '!$I432</f>
        <v>0</v>
      </c>
      <c r="K89" s="335">
        <f ca="1">' 09 '!$I432</f>
        <v>0</v>
      </c>
      <c r="L89" s="335">
        <f ca="1">' 10 '!$I432</f>
        <v>0</v>
      </c>
      <c r="M89" s="335">
        <f ca="1">' 11 '!$I432</f>
        <v>0</v>
      </c>
      <c r="N89" s="335">
        <f ca="1">' 12 '!$I432</f>
        <v>0</v>
      </c>
      <c r="O89" s="336">
        <f t="shared" ca="1" si="5"/>
        <v>0</v>
      </c>
      <c r="Q89" s="231">
        <v>12</v>
      </c>
      <c r="R89" s="330">
        <f ca="1">SUM(C89:E89)</f>
        <v>0</v>
      </c>
      <c r="S89" s="330">
        <f ca="1">SUM(F89:H89)</f>
        <v>0</v>
      </c>
      <c r="T89" s="330">
        <f ca="1">SUM(I89:K89)</f>
        <v>0</v>
      </c>
      <c r="U89" s="330">
        <f ca="1">SUM(L89:N89)</f>
        <v>0</v>
      </c>
    </row>
    <row r="90" spans="1:21" x14ac:dyDescent="0.25">
      <c r="A90" s="527" t="str">
        <f ca="1">' 01 '!A433</f>
        <v>Spesen (Auslagenersatz)</v>
      </c>
      <c r="B90" s="528"/>
      <c r="C90" s="335">
        <f>' 01 '!$I433</f>
        <v>0</v>
      </c>
      <c r="D90" s="335">
        <f>' 02 '!$I433</f>
        <v>0</v>
      </c>
      <c r="E90" s="335">
        <f>' 03 '!$I433</f>
        <v>0</v>
      </c>
      <c r="F90" s="335">
        <f>' 04 '!$I433</f>
        <v>0</v>
      </c>
      <c r="G90" s="335">
        <f>' 05 '!$I433</f>
        <v>0</v>
      </c>
      <c r="H90" s="335">
        <f>' 06 '!$I433</f>
        <v>0</v>
      </c>
      <c r="I90" s="335">
        <f>' 07 '!$I433</f>
        <v>0</v>
      </c>
      <c r="J90" s="335">
        <f>' 08 '!$I433</f>
        <v>0</v>
      </c>
      <c r="K90" s="335">
        <f>' 09 '!$I433</f>
        <v>0</v>
      </c>
      <c r="L90" s="335">
        <f>' 10 '!$I433</f>
        <v>0</v>
      </c>
      <c r="M90" s="335">
        <f>' 11 '!$I433</f>
        <v>0</v>
      </c>
      <c r="N90" s="335">
        <f>' 12 '!$I433</f>
        <v>0</v>
      </c>
      <c r="O90" s="336">
        <f t="shared" si="5"/>
        <v>0</v>
      </c>
      <c r="Q90" s="231"/>
    </row>
    <row r="91" spans="1:21" hidden="1" x14ac:dyDescent="0.25">
      <c r="A91" s="529" t="str">
        <f>' 01 '!A434</f>
        <v xml:space="preserve">      </v>
      </c>
      <c r="B91" s="528"/>
      <c r="C91" s="335">
        <f>' 01 '!$I434</f>
        <v>0</v>
      </c>
      <c r="D91" s="335">
        <f>' 02 '!$I434</f>
        <v>0</v>
      </c>
      <c r="E91" s="335">
        <f>' 03 '!$I434</f>
        <v>0</v>
      </c>
      <c r="F91" s="335">
        <f>' 04 '!$I434</f>
        <v>0</v>
      </c>
      <c r="G91" s="335">
        <f>' 05 '!$I434</f>
        <v>0</v>
      </c>
      <c r="H91" s="335">
        <f>' 06 '!$I434</f>
        <v>0</v>
      </c>
      <c r="I91" s="335">
        <f>' 07 '!$I434</f>
        <v>0</v>
      </c>
      <c r="J91" s="335">
        <f>' 08 '!$I434</f>
        <v>0</v>
      </c>
      <c r="K91" s="335">
        <f>' 09 '!$I434</f>
        <v>0</v>
      </c>
      <c r="L91" s="335">
        <f>' 10 '!$I434</f>
        <v>0</v>
      </c>
      <c r="M91" s="335">
        <f>' 11 '!$I434</f>
        <v>0</v>
      </c>
      <c r="N91" s="335">
        <f>' 12 '!$I434</f>
        <v>0</v>
      </c>
      <c r="O91" s="336">
        <f t="shared" si="5"/>
        <v>0</v>
      </c>
      <c r="Q91" s="231"/>
    </row>
    <row r="92" spans="1:21" hidden="1" x14ac:dyDescent="0.25">
      <c r="A92" s="529">
        <f>' 01 '!A435</f>
        <v>0</v>
      </c>
      <c r="B92" s="528"/>
      <c r="C92" s="335">
        <f>' 01 '!$I435</f>
        <v>0</v>
      </c>
      <c r="D92" s="335">
        <f>' 02 '!$I435</f>
        <v>0</v>
      </c>
      <c r="E92" s="335">
        <f>' 03 '!$I435</f>
        <v>0</v>
      </c>
      <c r="F92" s="335">
        <f>' 04 '!$I435</f>
        <v>0</v>
      </c>
      <c r="G92" s="335">
        <f>' 05 '!$I435</f>
        <v>0</v>
      </c>
      <c r="H92" s="335">
        <f>' 06 '!$I435</f>
        <v>0</v>
      </c>
      <c r="I92" s="335">
        <f>' 07 '!$I435</f>
        <v>0</v>
      </c>
      <c r="J92" s="335">
        <f>' 08 '!$I435</f>
        <v>0</v>
      </c>
      <c r="K92" s="335">
        <f>' 09 '!$I435</f>
        <v>0</v>
      </c>
      <c r="L92" s="335">
        <f>' 10 '!$I435</f>
        <v>0</v>
      </c>
      <c r="M92" s="335">
        <f>' 11 '!$I435</f>
        <v>0</v>
      </c>
      <c r="N92" s="335">
        <f>' 12 '!$I435</f>
        <v>0</v>
      </c>
      <c r="O92" s="336">
        <f t="shared" si="5"/>
        <v>0</v>
      </c>
      <c r="Q92" s="231"/>
    </row>
    <row r="93" spans="1:21" x14ac:dyDescent="0.25">
      <c r="A93" s="530" t="str">
        <f ca="1">' 01 '!A436</f>
        <v>Korrekturen</v>
      </c>
      <c r="B93" s="528"/>
      <c r="C93" s="335">
        <f>' 01 '!$I436</f>
        <v>0</v>
      </c>
      <c r="D93" s="335">
        <f>' 02 '!$I436</f>
        <v>0</v>
      </c>
      <c r="E93" s="335">
        <f>' 03 '!$I436</f>
        <v>0</v>
      </c>
      <c r="F93" s="335">
        <f>' 04 '!$I436</f>
        <v>0</v>
      </c>
      <c r="G93" s="335">
        <f>' 05 '!$I436</f>
        <v>0</v>
      </c>
      <c r="H93" s="335">
        <f>' 06 '!$I436</f>
        <v>0</v>
      </c>
      <c r="I93" s="335">
        <f>' 07 '!$I436</f>
        <v>0</v>
      </c>
      <c r="J93" s="335">
        <f>' 08 '!$I436</f>
        <v>0</v>
      </c>
      <c r="K93" s="335">
        <f>' 09 '!$I436</f>
        <v>0</v>
      </c>
      <c r="L93" s="335">
        <f>' 10 '!$I436</f>
        <v>0</v>
      </c>
      <c r="M93" s="335">
        <f>' 11 '!$I436</f>
        <v>0</v>
      </c>
      <c r="N93" s="335">
        <f>' 12 '!$I436</f>
        <v>0</v>
      </c>
      <c r="O93" s="336">
        <f t="shared" si="5"/>
        <v>0</v>
      </c>
      <c r="Q93" s="231"/>
    </row>
    <row r="94" spans="1:21" x14ac:dyDescent="0.25">
      <c r="A94" s="527" t="str">
        <f ca="1">' 01 '!A437</f>
        <v>……Quellensteuer auf Korrekturen</v>
      </c>
      <c r="B94" s="528"/>
      <c r="C94" s="335">
        <f ca="1">' 01 '!$I437</f>
        <v>0</v>
      </c>
      <c r="D94" s="335">
        <f ca="1">' 02 '!$I437</f>
        <v>0</v>
      </c>
      <c r="E94" s="335">
        <f ca="1">' 03 '!$I437</f>
        <v>0</v>
      </c>
      <c r="F94" s="335">
        <f ca="1">' 04 '!$I437</f>
        <v>0</v>
      </c>
      <c r="G94" s="335">
        <f ca="1">' 05 '!$I437</f>
        <v>0</v>
      </c>
      <c r="H94" s="335">
        <f ca="1">' 06 '!$I437</f>
        <v>0</v>
      </c>
      <c r="I94" s="335">
        <f ca="1">' 07 '!$I437</f>
        <v>0</v>
      </c>
      <c r="J94" s="335">
        <f ca="1">' 08 '!$I437</f>
        <v>0</v>
      </c>
      <c r="K94" s="335">
        <f ca="1">' 09 '!$I437</f>
        <v>0</v>
      </c>
      <c r="L94" s="335">
        <f ca="1">' 10 '!$I437</f>
        <v>0</v>
      </c>
      <c r="M94" s="335">
        <f ca="1">' 11 '!$I437</f>
        <v>0</v>
      </c>
      <c r="N94" s="335">
        <f ca="1">' 12 '!$I437</f>
        <v>0</v>
      </c>
      <c r="O94" s="336">
        <f t="shared" ca="1" si="5"/>
        <v>0</v>
      </c>
      <c r="Q94" s="231">
        <v>12</v>
      </c>
      <c r="R94" s="330">
        <f ca="1">SUM(C94:E94)</f>
        <v>0</v>
      </c>
      <c r="S94" s="330">
        <f ca="1">SUM(F94:H94)</f>
        <v>0</v>
      </c>
      <c r="T94" s="330">
        <f ca="1">SUM(I94:K94)</f>
        <v>0</v>
      </c>
      <c r="U94" s="330">
        <f ca="1">SUM(L94:N94)</f>
        <v>0</v>
      </c>
    </row>
    <row r="95" spans="1:21" x14ac:dyDescent="0.25">
      <c r="A95" s="531" t="str">
        <f ca="1">' 01 '!A438</f>
        <v>……Quellensteuer</v>
      </c>
      <c r="B95" s="528"/>
      <c r="C95" s="335">
        <f ca="1">' 01 '!$I438</f>
        <v>0</v>
      </c>
      <c r="D95" s="335">
        <f ca="1">' 02 '!$I438</f>
        <v>0</v>
      </c>
      <c r="E95" s="335">
        <f ca="1">' 03 '!$I438</f>
        <v>0</v>
      </c>
      <c r="F95" s="335">
        <f ca="1">' 04 '!$I438</f>
        <v>0</v>
      </c>
      <c r="G95" s="335">
        <f ca="1">' 05 '!$I438</f>
        <v>0</v>
      </c>
      <c r="H95" s="335">
        <f ca="1">' 06 '!$I438</f>
        <v>0</v>
      </c>
      <c r="I95" s="335">
        <f ca="1">' 07 '!$I438</f>
        <v>0</v>
      </c>
      <c r="J95" s="335">
        <f ca="1">' 08 '!$I438</f>
        <v>0</v>
      </c>
      <c r="K95" s="335">
        <f ca="1">' 09 '!$I438</f>
        <v>0</v>
      </c>
      <c r="L95" s="335">
        <f ca="1">' 10 '!$I438</f>
        <v>0</v>
      </c>
      <c r="M95" s="335">
        <f ca="1">' 11 '!$I438</f>
        <v>0</v>
      </c>
      <c r="N95" s="335">
        <f ca="1">' 12 '!$I438</f>
        <v>0</v>
      </c>
      <c r="O95" s="336">
        <f t="shared" ca="1" si="5"/>
        <v>0</v>
      </c>
      <c r="Q95" s="231">
        <v>12</v>
      </c>
      <c r="R95" s="330">
        <f ca="1">SUM(C95:E95)</f>
        <v>0</v>
      </c>
      <c r="S95" s="330">
        <f ca="1">SUM(F95:H95)</f>
        <v>0</v>
      </c>
      <c r="T95" s="330">
        <f ca="1">SUM(I95:K95)</f>
        <v>0</v>
      </c>
      <c r="U95" s="330">
        <f ca="1">SUM(L95:N95)</f>
        <v>0</v>
      </c>
    </row>
    <row r="96" spans="1:21" hidden="1" x14ac:dyDescent="0.25">
      <c r="A96" s="529" t="str">
        <f ca="1">' 01 '!A439</f>
        <v xml:space="preserve">      </v>
      </c>
      <c r="B96" s="528"/>
      <c r="C96" s="335">
        <f>' 01 '!$I439</f>
        <v>0</v>
      </c>
      <c r="D96" s="335">
        <f>' 02 '!$I439</f>
        <v>0</v>
      </c>
      <c r="E96" s="335">
        <f>' 03 '!$I439</f>
        <v>0</v>
      </c>
      <c r="F96" s="335">
        <f>' 04 '!$I439</f>
        <v>0</v>
      </c>
      <c r="G96" s="335">
        <f>' 05 '!$I439</f>
        <v>0</v>
      </c>
      <c r="H96" s="335">
        <f>' 06 '!$I439</f>
        <v>0</v>
      </c>
      <c r="I96" s="335">
        <f>' 07 '!$I439</f>
        <v>0</v>
      </c>
      <c r="J96" s="335">
        <f>' 08 '!$I439</f>
        <v>0</v>
      </c>
      <c r="K96" s="335">
        <f>' 09 '!$I439</f>
        <v>0</v>
      </c>
      <c r="L96" s="335">
        <f>' 10 '!$I439</f>
        <v>0</v>
      </c>
      <c r="M96" s="335">
        <f>' 11 '!$I439</f>
        <v>0</v>
      </c>
      <c r="N96" s="335">
        <f>' 12 '!$I439</f>
        <v>0</v>
      </c>
      <c r="O96" s="336">
        <f t="shared" si="5"/>
        <v>0</v>
      </c>
      <c r="Q96" s="231"/>
    </row>
    <row r="97" spans="1:17" x14ac:dyDescent="0.25">
      <c r="A97" s="531" t="str">
        <f ca="1">' 01 '!A440</f>
        <v>……Spesen (Auslagenersatz)</v>
      </c>
      <c r="B97" s="528"/>
      <c r="C97" s="335">
        <f ca="1">' 01 '!$I440</f>
        <v>0</v>
      </c>
      <c r="D97" s="335">
        <f ca="1">' 02 '!$I440</f>
        <v>0</v>
      </c>
      <c r="E97" s="335">
        <f ca="1">' 03 '!$I440</f>
        <v>0</v>
      </c>
      <c r="F97" s="335">
        <f ca="1">' 04 '!$I440</f>
        <v>0</v>
      </c>
      <c r="G97" s="335">
        <f ca="1">' 05 '!$I440</f>
        <v>0</v>
      </c>
      <c r="H97" s="335">
        <f ca="1">' 06 '!$I440</f>
        <v>0</v>
      </c>
      <c r="I97" s="335">
        <f ca="1">' 07 '!$I440</f>
        <v>0</v>
      </c>
      <c r="J97" s="335">
        <f ca="1">' 08 '!$I440</f>
        <v>0</v>
      </c>
      <c r="K97" s="335">
        <f ca="1">' 09 '!$I440</f>
        <v>0</v>
      </c>
      <c r="L97" s="335">
        <f ca="1">' 10 '!$I440</f>
        <v>0</v>
      </c>
      <c r="M97" s="335">
        <f ca="1">' 11 '!$I440</f>
        <v>0</v>
      </c>
      <c r="N97" s="335">
        <f ca="1">' 12 '!$I440</f>
        <v>0</v>
      </c>
      <c r="O97" s="336">
        <f t="shared" ca="1" si="5"/>
        <v>0</v>
      </c>
      <c r="Q97" s="231"/>
    </row>
    <row r="98" spans="1:17" hidden="1" x14ac:dyDescent="0.25">
      <c r="A98" s="529" t="str">
        <f ca="1">' 01 '!A441</f>
        <v xml:space="preserve">      </v>
      </c>
      <c r="B98" s="528"/>
      <c r="C98" s="335">
        <f>' 01 '!$I441</f>
        <v>0</v>
      </c>
      <c r="D98" s="335">
        <f>' 02 '!$I441</f>
        <v>0</v>
      </c>
      <c r="E98" s="335">
        <f>' 03 '!$I441</f>
        <v>0</v>
      </c>
      <c r="F98" s="335">
        <f>' 04 '!$I441</f>
        <v>0</v>
      </c>
      <c r="G98" s="335">
        <f>' 05 '!$I441</f>
        <v>0</v>
      </c>
      <c r="H98" s="335">
        <f>' 06 '!$I441</f>
        <v>0</v>
      </c>
      <c r="I98" s="335">
        <f>' 07 '!$I441</f>
        <v>0</v>
      </c>
      <c r="J98" s="335">
        <f>' 08 '!$I441</f>
        <v>0</v>
      </c>
      <c r="K98" s="335">
        <f>' 09 '!$I441</f>
        <v>0</v>
      </c>
      <c r="L98" s="335">
        <f>' 10 '!$I441</f>
        <v>0</v>
      </c>
      <c r="M98" s="335">
        <f>' 11 '!$I441</f>
        <v>0</v>
      </c>
      <c r="N98" s="335">
        <f>' 12 '!$I441</f>
        <v>0</v>
      </c>
      <c r="O98" s="336">
        <f t="shared" si="5"/>
        <v>0</v>
      </c>
      <c r="Q98" s="231"/>
    </row>
    <row r="99" spans="1:17" hidden="1" x14ac:dyDescent="0.25">
      <c r="A99" s="529">
        <f>' 01 '!A442</f>
        <v>0</v>
      </c>
      <c r="B99" s="528"/>
      <c r="C99" s="335">
        <f>' 01 '!$I442</f>
        <v>0</v>
      </c>
      <c r="D99" s="335">
        <f>' 02 '!$I442</f>
        <v>0</v>
      </c>
      <c r="E99" s="335">
        <f>' 03 '!$I442</f>
        <v>0</v>
      </c>
      <c r="F99" s="335">
        <f>' 04 '!$I442</f>
        <v>0</v>
      </c>
      <c r="G99" s="335">
        <f>' 05 '!$I442</f>
        <v>0</v>
      </c>
      <c r="H99" s="335">
        <f>' 06 '!$I442</f>
        <v>0</v>
      </c>
      <c r="I99" s="335">
        <f>' 07 '!$I442</f>
        <v>0</v>
      </c>
      <c r="J99" s="335">
        <f>' 08 '!$I442</f>
        <v>0</v>
      </c>
      <c r="K99" s="335">
        <f>' 09 '!$I442</f>
        <v>0</v>
      </c>
      <c r="L99" s="335">
        <f>' 10 '!$I442</f>
        <v>0</v>
      </c>
      <c r="M99" s="335">
        <f>' 11 '!$I442</f>
        <v>0</v>
      </c>
      <c r="N99" s="335">
        <f>' 12 '!$I442</f>
        <v>0</v>
      </c>
      <c r="O99" s="336">
        <f t="shared" ref="O99:O104" si="6">SUM(C99:N99)</f>
        <v>0</v>
      </c>
      <c r="Q99" s="231"/>
    </row>
    <row r="100" spans="1:17" x14ac:dyDescent="0.25">
      <c r="A100" s="531" t="str">
        <f ca="1">' 01 '!A443</f>
        <v>Ausgleich Kost und Logis</v>
      </c>
      <c r="B100" s="528"/>
      <c r="C100" s="335">
        <f ca="1">' 01 '!$I443</f>
        <v>0</v>
      </c>
      <c r="D100" s="335">
        <f ca="1">' 02 '!$I443</f>
        <v>0</v>
      </c>
      <c r="E100" s="335">
        <f ca="1">' 03 '!$I443</f>
        <v>0</v>
      </c>
      <c r="F100" s="335">
        <f ca="1">' 04 '!$I443</f>
        <v>0</v>
      </c>
      <c r="G100" s="335">
        <f ca="1">' 05 '!$I443</f>
        <v>0</v>
      </c>
      <c r="H100" s="335">
        <f ca="1">' 06 '!$I443</f>
        <v>0</v>
      </c>
      <c r="I100" s="335">
        <f ca="1">' 07 '!$I443</f>
        <v>0</v>
      </c>
      <c r="J100" s="335">
        <f ca="1">' 08 '!$I443</f>
        <v>0</v>
      </c>
      <c r="K100" s="335">
        <f ca="1">' 09 '!$I443</f>
        <v>0</v>
      </c>
      <c r="L100" s="335">
        <f ca="1">' 10 '!$I443</f>
        <v>0</v>
      </c>
      <c r="M100" s="335">
        <f ca="1">' 11 '!$I443</f>
        <v>0</v>
      </c>
      <c r="N100" s="335">
        <f ca="1">' 12 '!$I443</f>
        <v>0</v>
      </c>
      <c r="O100" s="336">
        <f t="shared" ca="1" si="6"/>
        <v>0</v>
      </c>
      <c r="Q100" s="231"/>
    </row>
    <row r="101" spans="1:17" x14ac:dyDescent="0.25">
      <c r="A101" s="527" t="str">
        <f ca="1">' 01 '!A444</f>
        <v>Andere</v>
      </c>
      <c r="B101" s="528"/>
      <c r="C101" s="335">
        <f>' 01 '!$I444</f>
        <v>0</v>
      </c>
      <c r="D101" s="335">
        <f>' 02 '!$I444</f>
        <v>0</v>
      </c>
      <c r="E101" s="335">
        <f>' 03 '!$I444</f>
        <v>0</v>
      </c>
      <c r="F101" s="335">
        <f>' 04 '!$I444</f>
        <v>0</v>
      </c>
      <c r="G101" s="335">
        <f>' 05 '!$I444</f>
        <v>0</v>
      </c>
      <c r="H101" s="335">
        <f>' 06 '!$I444</f>
        <v>0</v>
      </c>
      <c r="I101" s="335">
        <f>' 07 '!$I444</f>
        <v>0</v>
      </c>
      <c r="J101" s="335">
        <f>' 08 '!$I444</f>
        <v>0</v>
      </c>
      <c r="K101" s="335">
        <f>' 09 '!$I444</f>
        <v>0</v>
      </c>
      <c r="L101" s="335">
        <f>' 10 '!$I444</f>
        <v>0</v>
      </c>
      <c r="M101" s="335">
        <f>' 11 '!$I444</f>
        <v>0</v>
      </c>
      <c r="N101" s="335">
        <f>' 12 '!$I444</f>
        <v>0</v>
      </c>
      <c r="O101" s="336">
        <f t="shared" si="6"/>
        <v>0</v>
      </c>
      <c r="Q101" s="231"/>
    </row>
    <row r="102" spans="1:17" hidden="1" x14ac:dyDescent="0.25">
      <c r="A102" s="529" t="str">
        <f>' 01 '!A445</f>
        <v xml:space="preserve">      </v>
      </c>
      <c r="B102" s="528"/>
      <c r="C102" s="335">
        <f>' 01 '!$I445</f>
        <v>0</v>
      </c>
      <c r="D102" s="335">
        <f>' 02 '!$I445</f>
        <v>0</v>
      </c>
      <c r="E102" s="335">
        <f>' 03 '!$I445</f>
        <v>0</v>
      </c>
      <c r="F102" s="335">
        <f>' 04 '!$I445</f>
        <v>0</v>
      </c>
      <c r="G102" s="335">
        <f>' 05 '!$I445</f>
        <v>0</v>
      </c>
      <c r="H102" s="335">
        <f>' 06 '!$I445</f>
        <v>0</v>
      </c>
      <c r="I102" s="335">
        <f>' 07 '!$I445</f>
        <v>0</v>
      </c>
      <c r="J102" s="335">
        <f>' 08 '!$I445</f>
        <v>0</v>
      </c>
      <c r="K102" s="335">
        <f>' 09 '!$I445</f>
        <v>0</v>
      </c>
      <c r="L102" s="335">
        <f>' 10 '!$I445</f>
        <v>0</v>
      </c>
      <c r="M102" s="335">
        <f>' 11 '!$I445</f>
        <v>0</v>
      </c>
      <c r="N102" s="335">
        <f>' 12 '!$I445</f>
        <v>0</v>
      </c>
      <c r="O102" s="336">
        <f t="shared" si="6"/>
        <v>0</v>
      </c>
      <c r="Q102" s="231"/>
    </row>
    <row r="103" spans="1:17" hidden="1" x14ac:dyDescent="0.25">
      <c r="A103" s="529">
        <f>' 01 '!A446</f>
        <v>0</v>
      </c>
      <c r="B103" s="528"/>
      <c r="C103" s="335">
        <f>' 01 '!$I446</f>
        <v>0</v>
      </c>
      <c r="D103" s="335">
        <f>' 02 '!$I446</f>
        <v>0</v>
      </c>
      <c r="E103" s="335">
        <f>' 03 '!$I446</f>
        <v>0</v>
      </c>
      <c r="F103" s="335">
        <f>' 04 '!$I446</f>
        <v>0</v>
      </c>
      <c r="G103" s="335">
        <f>' 05 '!$I446</f>
        <v>0</v>
      </c>
      <c r="H103" s="335">
        <f>' 06 '!$I446</f>
        <v>0</v>
      </c>
      <c r="I103" s="335">
        <f>' 07 '!$I446</f>
        <v>0</v>
      </c>
      <c r="J103" s="335">
        <f>' 08 '!$I446</f>
        <v>0</v>
      </c>
      <c r="K103" s="335">
        <f>' 09 '!$I446</f>
        <v>0</v>
      </c>
      <c r="L103" s="335">
        <f>' 10 '!$I446</f>
        <v>0</v>
      </c>
      <c r="M103" s="335">
        <f>' 11 '!$I446</f>
        <v>0</v>
      </c>
      <c r="N103" s="335">
        <f>' 12 '!$I446</f>
        <v>0</v>
      </c>
      <c r="O103" s="336">
        <f t="shared" si="6"/>
        <v>0</v>
      </c>
      <c r="Q103" s="231"/>
    </row>
    <row r="104" spans="1:17" x14ac:dyDescent="0.25">
      <c r="A104" s="527" t="str">
        <f ca="1">' 01 '!A447</f>
        <v>Auszahlungsbetrag</v>
      </c>
      <c r="B104" s="528"/>
      <c r="C104" s="335">
        <f ca="1">' 01 '!$I447</f>
        <v>0</v>
      </c>
      <c r="D104" s="335">
        <f ca="1">' 02 '!$I447</f>
        <v>0</v>
      </c>
      <c r="E104" s="335">
        <f ca="1">' 03 '!$I447</f>
        <v>0</v>
      </c>
      <c r="F104" s="335">
        <f ca="1">' 04 '!$I447</f>
        <v>0</v>
      </c>
      <c r="G104" s="335">
        <f ca="1">' 05 '!$I447</f>
        <v>0</v>
      </c>
      <c r="H104" s="335">
        <f ca="1">' 06 '!$I447</f>
        <v>0</v>
      </c>
      <c r="I104" s="335">
        <f ca="1">' 07 '!$I447</f>
        <v>0</v>
      </c>
      <c r="J104" s="335">
        <f ca="1">' 08 '!$I447</f>
        <v>0</v>
      </c>
      <c r="K104" s="335">
        <f ca="1">' 09 '!$I447</f>
        <v>0</v>
      </c>
      <c r="L104" s="335">
        <f ca="1">' 10 '!$I447</f>
        <v>0</v>
      </c>
      <c r="M104" s="335">
        <f ca="1">' 11 '!$I447</f>
        <v>0</v>
      </c>
      <c r="N104" s="335">
        <f ca="1">' 12 '!$I447</f>
        <v>0</v>
      </c>
      <c r="O104" s="336">
        <f t="shared" ca="1" si="6"/>
        <v>0</v>
      </c>
      <c r="Q104" s="231"/>
    </row>
    <row r="105" spans="1:17" x14ac:dyDescent="0.25">
      <c r="A105" s="63"/>
      <c r="C105" s="63"/>
      <c r="D105" s="63"/>
      <c r="E105" s="321"/>
      <c r="F105" s="63"/>
      <c r="G105" s="63"/>
      <c r="H105" s="320"/>
    </row>
    <row r="106" spans="1:17" x14ac:dyDescent="0.25">
      <c r="A106" s="63"/>
      <c r="B106" s="63"/>
      <c r="C106" s="63"/>
      <c r="D106" s="321"/>
      <c r="E106" s="63"/>
      <c r="F106" s="63"/>
      <c r="G106" s="63"/>
    </row>
    <row r="107" spans="1:17" x14ac:dyDescent="0.25">
      <c r="A107" s="63"/>
      <c r="B107" s="63"/>
      <c r="C107" s="63"/>
      <c r="D107" s="321"/>
      <c r="E107" s="63"/>
      <c r="F107" s="63"/>
      <c r="G107" s="63"/>
    </row>
    <row r="108" spans="1:17" x14ac:dyDescent="0.25">
      <c r="A108" s="63"/>
      <c r="B108" s="63"/>
      <c r="C108" s="63"/>
      <c r="D108" s="321"/>
      <c r="E108" s="63"/>
      <c r="F108" s="63"/>
      <c r="G108" s="63"/>
    </row>
    <row r="109" spans="1:17" x14ac:dyDescent="0.25">
      <c r="A109" s="322"/>
      <c r="B109" s="63"/>
      <c r="C109" s="63"/>
      <c r="D109" s="63"/>
      <c r="E109" s="63"/>
      <c r="F109" s="63"/>
      <c r="G109" s="63"/>
    </row>
    <row r="110" spans="1:17" x14ac:dyDescent="0.25">
      <c r="A110" s="322"/>
      <c r="B110" s="63"/>
      <c r="C110" s="63"/>
      <c r="D110" s="63"/>
      <c r="E110" s="63"/>
      <c r="F110" s="63"/>
      <c r="G110" s="63"/>
    </row>
    <row r="111" spans="1:17" x14ac:dyDescent="0.25">
      <c r="A111" s="63"/>
      <c r="B111" s="63"/>
      <c r="C111" s="63"/>
      <c r="D111" s="63"/>
      <c r="E111" s="63"/>
      <c r="F111" s="63"/>
      <c r="G111" s="63"/>
    </row>
  </sheetData>
  <sheetProtection algorithmName="SHA-512" hashValue="5JPohQWQEeBjsQfBXIFkVEeQFI6J/AVytFGh6lG2pYmY/J1Uurs/DJSibE12dUXF7QuBf1RD4AG8y9B8jVMw2w==" saltValue="9wMQO82yCwamjXiY2rppQQ==" spinCount="100000" sheet="1" objects="1" scenarios="1"/>
  <mergeCells count="2">
    <mergeCell ref="A9:G9"/>
    <mergeCell ref="A35:B35"/>
  </mergeCells>
  <phoneticPr fontId="0" type="noConversion"/>
  <pageMargins left="0.51181102362204722" right="0.19685039370078741" top="0.98425196850393704" bottom="0.78740157480314965" header="0.70866141732283472" footer="0.51181102362204722"/>
  <pageSetup paperSize="9" scale="36" orientation="landscape" r:id="rId1"/>
  <headerFooter alignWithMargins="0">
    <oddFooter>&amp;L&amp;8 LAM © Assistenzbüro ABü 2022 - V2.0&amp;R&amp;8&amp;P/&amp;N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outlinePr showOutlineSymbols="0"/>
  </sheetPr>
  <dimension ref="A1:D132"/>
  <sheetViews>
    <sheetView showGridLines="0" tabSelected="1" showOutlineSymbols="0" workbookViewId="0">
      <selection activeCell="C34" sqref="C34"/>
    </sheetView>
  </sheetViews>
  <sheetFormatPr baseColWidth="10" defaultColWidth="11.33203125" defaultRowHeight="13.2" outlineLevelRow="1" x14ac:dyDescent="0.25"/>
  <cols>
    <col min="1" max="1" width="54.6640625" style="344" customWidth="1"/>
    <col min="2" max="3" width="30.6640625" style="344" customWidth="1"/>
    <col min="4" max="4" width="19.88671875" style="344" bestFit="1" customWidth="1"/>
    <col min="5" max="16384" width="11.33203125" style="344"/>
  </cols>
  <sheetData>
    <row r="1" spans="1:4" ht="17.399999999999999" x14ac:dyDescent="0.3">
      <c r="A1" s="536" t="str">
        <f t="shared" ref="A1:A6" ca="1" si="0">INDIRECT(ADDRESS(ROW()+N_Offset_I,COLUMN()+(N_SpracheAuswahl)*26,,,"Text"))</f>
        <v xml:space="preserve">Lohnabrechnung LAM: Eintrag der Daten aus dem vorgängigen LAM </v>
      </c>
    </row>
    <row r="2" spans="1:4" ht="16.5" customHeight="1" x14ac:dyDescent="0.25">
      <c r="A2" s="537" t="str">
        <f t="shared" ca="1" si="0"/>
        <v>Bei Eröffnung eines neuen LAM können die Daten aus dem Blatt "E" (Export) des alten LAM hierher in das Blatt "I" (Import) kopiert werden:</v>
      </c>
    </row>
    <row r="3" spans="1:4" ht="16.5" customHeight="1" x14ac:dyDescent="0.25">
      <c r="A3" s="537" t="str">
        <f t="shared" ca="1" si="0"/>
        <v>1. Ganzes Blatt "E" des vorgängigen LAM markieren (Taste "Control" halten, dann zweimal Taste "a" drücken)</v>
      </c>
    </row>
    <row r="4" spans="1:4" x14ac:dyDescent="0.25">
      <c r="A4" s="537" t="str">
        <f t="shared" ca="1" si="0"/>
        <v>2. Kopieren (Control + c)</v>
      </c>
    </row>
    <row r="5" spans="1:4" x14ac:dyDescent="0.25">
      <c r="A5" s="537" t="str">
        <f t="shared" ca="1" si="0"/>
        <v>3. Zu Zelle A1 hier in Blatt "I" des neuen LAM wechseln und diese markieren</v>
      </c>
    </row>
    <row r="6" spans="1:4" x14ac:dyDescent="0.25">
      <c r="A6" s="537" t="str">
        <f t="shared" ca="1" si="0"/>
        <v>4. Rechtsklick in Zelle A1 &gt; "Inhalte einfügen..." anwählen, "Werte" aktivieren und "ok" drücken</v>
      </c>
    </row>
    <row r="7" spans="1:4" x14ac:dyDescent="0.25">
      <c r="A7" s="537"/>
    </row>
    <row r="8" spans="1:4" x14ac:dyDescent="0.25">
      <c r="A8" s="537"/>
    </row>
    <row r="11" spans="1:4" ht="16.2" thickBot="1" x14ac:dyDescent="0.3">
      <c r="A11" s="538" t="str">
        <f t="shared" ref="A11:A26" ca="1" si="1">INDIRECT(ADDRESS(ROW()+N_Offset_I,COLUMN()+(N_SpracheAuswahl)*26,,,"Text"))</f>
        <v>Importierte Daten aus dem alten LAM:</v>
      </c>
      <c r="B11" s="345"/>
      <c r="C11" s="345" t="str">
        <f ca="1">INDIRECT(ADDRESS(ROW()+N_Offset_I,COLUMN()+(N_SpracheAuswahl)*26,,,"Text"))</f>
        <v>Werte aus Übertrag vom alten LAM</v>
      </c>
    </row>
    <row r="12" spans="1:4" x14ac:dyDescent="0.25">
      <c r="A12" s="346" t="str">
        <f t="shared" ca="1" si="1"/>
        <v>Saldo Soll-Arbeitszeit</v>
      </c>
      <c r="B12" s="346"/>
      <c r="C12" s="793">
        <v>0</v>
      </c>
      <c r="D12" s="346" t="str">
        <f t="shared" ref="D12:D26" ca="1" si="2">INDIRECT(ADDRESS(ROW()+N_Offset_I,COLUMN()+(N_SpracheAuswahl)*26,,,"Text"))</f>
        <v>Stunden</v>
      </c>
    </row>
    <row r="13" spans="1:4" x14ac:dyDescent="0.25">
      <c r="A13" s="346" t="str">
        <f t="shared" ca="1" si="1"/>
        <v>Ferienguthaben (Rest aus Vorjahr)</v>
      </c>
      <c r="B13" s="346"/>
      <c r="C13" s="539">
        <v>0</v>
      </c>
      <c r="D13" s="346" t="str">
        <f t="shared" ca="1" si="2"/>
        <v>Kalendertage</v>
      </c>
    </row>
    <row r="14" spans="1:4" x14ac:dyDescent="0.25">
      <c r="A14" s="346" t="str">
        <f t="shared" ca="1" si="1"/>
        <v>Ereignisdauer 324 Ende vorgängigem LAM:</v>
      </c>
      <c r="B14" s="346"/>
      <c r="C14" s="539">
        <v>0</v>
      </c>
      <c r="D14" s="346" t="str">
        <f t="shared" ca="1" si="2"/>
        <v>Tage</v>
      </c>
    </row>
    <row r="15" spans="1:4" x14ac:dyDescent="0.25">
      <c r="A15" s="345" t="str">
        <f t="shared" ca="1" si="1"/>
        <v>kumulierte Arbeitsunfähigkeit im Dienstjahr wegen Krankheit (gemäss OR 324a):</v>
      </c>
      <c r="B15" s="345"/>
      <c r="C15" s="540">
        <v>0</v>
      </c>
      <c r="D15" s="345" t="str">
        <f t="shared" ca="1" si="2"/>
        <v>Tage</v>
      </c>
    </row>
    <row r="16" spans="1:4" x14ac:dyDescent="0.25">
      <c r="A16" s="345" t="str">
        <f t="shared" ca="1" si="1"/>
        <v>kumulierte Arbeitsunfähigkeit wegen Unfall</v>
      </c>
      <c r="B16" s="345"/>
      <c r="C16" s="540">
        <v>0</v>
      </c>
      <c r="D16" s="345" t="str">
        <f t="shared" ca="1" si="2"/>
        <v>Tage</v>
      </c>
    </row>
    <row r="17" spans="1:4" x14ac:dyDescent="0.25">
      <c r="A17" s="345" t="str">
        <f t="shared" ca="1" si="1"/>
        <v>kumulierte Arbeitsunfähigkeit wegen Mutterschaft</v>
      </c>
      <c r="B17" s="345"/>
      <c r="C17" s="540">
        <v>0</v>
      </c>
      <c r="D17" s="345" t="str">
        <f t="shared" ca="1" si="2"/>
        <v>Tage</v>
      </c>
    </row>
    <row r="18" spans="1:4" x14ac:dyDescent="0.25">
      <c r="A18" s="345" t="str">
        <f t="shared" ca="1" si="1"/>
        <v>Verlängerung der Probezeit</v>
      </c>
      <c r="B18" s="345"/>
      <c r="C18" s="540">
        <v>0</v>
      </c>
      <c r="D18" s="345" t="str">
        <f t="shared" ca="1" si="2"/>
        <v>Tage</v>
      </c>
    </row>
    <row r="19" spans="1:4" x14ac:dyDescent="0.25">
      <c r="A19" s="345" t="str">
        <f t="shared" ca="1" si="1"/>
        <v>Laufende Sperrfrist</v>
      </c>
      <c r="B19" s="345"/>
      <c r="C19" s="540">
        <v>0</v>
      </c>
      <c r="D19" s="345" t="str">
        <f t="shared" ca="1" si="2"/>
        <v>Tage</v>
      </c>
    </row>
    <row r="20" spans="1:4" x14ac:dyDescent="0.25">
      <c r="A20" s="345" t="str">
        <f t="shared" ca="1" si="1"/>
        <v>Aktuelle Stillstandsdauer</v>
      </c>
      <c r="B20" s="345"/>
      <c r="C20" s="540">
        <v>0</v>
      </c>
      <c r="D20" s="345" t="str">
        <f t="shared" ca="1" si="2"/>
        <v>Tage</v>
      </c>
    </row>
    <row r="21" spans="1:4" x14ac:dyDescent="0.25">
      <c r="A21" s="345" t="str">
        <f t="shared" ca="1" si="1"/>
        <v>geleistete Stunden mit Quali B im Oktober des alten LAM</v>
      </c>
      <c r="B21" s="345"/>
      <c r="C21" s="541">
        <v>0</v>
      </c>
      <c r="D21" s="345" t="str">
        <f t="shared" ca="1" si="2"/>
        <v>Stunden</v>
      </c>
    </row>
    <row r="22" spans="1:4" x14ac:dyDescent="0.25">
      <c r="A22" s="345" t="str">
        <f t="shared" ca="1" si="1"/>
        <v>geleistete Stunden mit Quali B im November des alten LAM</v>
      </c>
      <c r="B22" s="345"/>
      <c r="C22" s="541">
        <v>0</v>
      </c>
      <c r="D22" s="345" t="str">
        <f t="shared" ca="1" si="2"/>
        <v>Stunden</v>
      </c>
    </row>
    <row r="23" spans="1:4" x14ac:dyDescent="0.25">
      <c r="A23" s="345" t="str">
        <f t="shared" ca="1" si="1"/>
        <v>geleistete Stunden mit Quali B im Dezember des alten LAM</v>
      </c>
      <c r="B23" s="345"/>
      <c r="C23" s="541">
        <v>0</v>
      </c>
      <c r="D23" s="345" t="str">
        <f t="shared" ca="1" si="2"/>
        <v>Stunden</v>
      </c>
    </row>
    <row r="24" spans="1:4" x14ac:dyDescent="0.25">
      <c r="A24" s="345" t="str">
        <f t="shared" ca="1" si="1"/>
        <v>geleistete Nächte im Oktober des alten LAM</v>
      </c>
      <c r="B24" s="345"/>
      <c r="C24" s="542">
        <v>0</v>
      </c>
      <c r="D24" s="345" t="str">
        <f t="shared" ca="1" si="2"/>
        <v>Nächte</v>
      </c>
    </row>
    <row r="25" spans="1:4" x14ac:dyDescent="0.25">
      <c r="A25" s="345" t="str">
        <f t="shared" ca="1" si="1"/>
        <v>geleistete Nächte im November des alten LAM</v>
      </c>
      <c r="B25" s="345"/>
      <c r="C25" s="542">
        <v>0</v>
      </c>
      <c r="D25" s="345" t="str">
        <f t="shared" ca="1" si="2"/>
        <v>Nächte</v>
      </c>
    </row>
    <row r="26" spans="1:4" ht="13.8" thickBot="1" x14ac:dyDescent="0.3">
      <c r="A26" s="345" t="str">
        <f t="shared" ca="1" si="1"/>
        <v>geleistete Nächte im Dezember des alten LAM</v>
      </c>
      <c r="B26" s="345"/>
      <c r="C26" s="543">
        <v>0</v>
      </c>
      <c r="D26" s="345" t="str">
        <f t="shared" ca="1" si="2"/>
        <v>Nächte</v>
      </c>
    </row>
    <row r="27" spans="1:4" ht="13.2" customHeight="1" x14ac:dyDescent="0.25">
      <c r="B27" s="345"/>
      <c r="C27" s="345"/>
    </row>
    <row r="28" spans="1:4" s="629" customFormat="1" outlineLevel="1" x14ac:dyDescent="0.25">
      <c r="A28" s="694" t="s">
        <v>1305</v>
      </c>
      <c r="B28" s="695"/>
      <c r="C28" s="794"/>
      <c r="D28" s="694"/>
    </row>
    <row r="29" spans="1:4" s="629" customFormat="1" outlineLevel="1" x14ac:dyDescent="0.25">
      <c r="A29" s="343" t="s">
        <v>730</v>
      </c>
      <c r="B29" s="694"/>
      <c r="C29" s="795"/>
      <c r="D29" s="694"/>
    </row>
    <row r="30" spans="1:4" s="629" customFormat="1" outlineLevel="1" x14ac:dyDescent="0.25">
      <c r="A30" s="694" t="s">
        <v>578</v>
      </c>
      <c r="B30" s="694"/>
      <c r="C30" s="795">
        <v>2021</v>
      </c>
      <c r="D30" s="694"/>
    </row>
    <row r="31" spans="1:4" s="629" customFormat="1" outlineLevel="1" x14ac:dyDescent="0.25">
      <c r="A31" s="694"/>
      <c r="B31" s="694"/>
      <c r="C31" s="795"/>
      <c r="D31" s="694"/>
    </row>
    <row r="32" spans="1:4" s="629" customFormat="1" outlineLevel="1" x14ac:dyDescent="0.25">
      <c r="A32" s="694"/>
      <c r="B32" s="694"/>
      <c r="C32" s="795"/>
      <c r="D32" s="694"/>
    </row>
    <row r="33" spans="1:4" s="629" customFormat="1" outlineLevel="1" x14ac:dyDescent="0.25">
      <c r="A33" s="694"/>
      <c r="B33" s="694"/>
      <c r="C33" s="795"/>
      <c r="D33" s="694"/>
    </row>
    <row r="34" spans="1:4" s="629" customFormat="1" outlineLevel="1" x14ac:dyDescent="0.25">
      <c r="A34" s="694"/>
      <c r="B34" s="694"/>
      <c r="C34" s="795"/>
      <c r="D34" s="694"/>
    </row>
    <row r="35" spans="1:4" s="629" customFormat="1" outlineLevel="1" x14ac:dyDescent="0.25">
      <c r="A35" s="343" t="s">
        <v>406</v>
      </c>
      <c r="B35" s="694"/>
      <c r="C35" s="795"/>
      <c r="D35" s="694"/>
    </row>
    <row r="36" spans="1:4" s="629" customFormat="1" outlineLevel="1" x14ac:dyDescent="0.25">
      <c r="A36" s="694" t="s">
        <v>866</v>
      </c>
      <c r="B36" s="694"/>
      <c r="C36" s="795" t="s">
        <v>562</v>
      </c>
      <c r="D36" s="694"/>
    </row>
    <row r="37" spans="1:4" s="629" customFormat="1" outlineLevel="1" x14ac:dyDescent="0.25">
      <c r="A37" s="694" t="s">
        <v>867</v>
      </c>
      <c r="B37" s="694"/>
      <c r="C37" s="795" t="s">
        <v>562</v>
      </c>
      <c r="D37" s="694"/>
    </row>
    <row r="38" spans="1:4" s="629" customFormat="1" outlineLevel="1" x14ac:dyDescent="0.25">
      <c r="A38" s="694" t="s">
        <v>868</v>
      </c>
      <c r="B38" s="694"/>
      <c r="C38" s="795" t="s">
        <v>562</v>
      </c>
      <c r="D38" s="694"/>
    </row>
    <row r="39" spans="1:4" s="629" customFormat="1" outlineLevel="1" x14ac:dyDescent="0.25">
      <c r="A39" s="694" t="s">
        <v>869</v>
      </c>
      <c r="B39" s="694"/>
      <c r="C39" s="795" t="s">
        <v>562</v>
      </c>
      <c r="D39" s="694"/>
    </row>
    <row r="40" spans="1:4" s="629" customFormat="1" outlineLevel="1" x14ac:dyDescent="0.25">
      <c r="A40" s="694" t="s">
        <v>870</v>
      </c>
      <c r="B40" s="694"/>
      <c r="C40" s="795" t="s">
        <v>562</v>
      </c>
      <c r="D40" s="694"/>
    </row>
    <row r="41" spans="1:4" s="629" customFormat="1" outlineLevel="1" x14ac:dyDescent="0.25">
      <c r="A41" s="694" t="s">
        <v>871</v>
      </c>
      <c r="B41" s="694"/>
      <c r="C41" s="795" t="s">
        <v>562</v>
      </c>
      <c r="D41" s="694"/>
    </row>
    <row r="42" spans="1:4" s="629" customFormat="1" outlineLevel="1" x14ac:dyDescent="0.25">
      <c r="A42" s="694"/>
      <c r="B42" s="694"/>
      <c r="C42" s="795"/>
      <c r="D42" s="694"/>
    </row>
    <row r="43" spans="1:4" s="629" customFormat="1" outlineLevel="1" x14ac:dyDescent="0.25">
      <c r="A43" s="694" t="s">
        <v>477</v>
      </c>
      <c r="B43" s="694"/>
      <c r="C43" s="795" t="str">
        <f ca="1">Text!C5</f>
        <v>Nein</v>
      </c>
      <c r="D43" s="694"/>
    </row>
    <row r="44" spans="1:4" s="629" customFormat="1" outlineLevel="1" x14ac:dyDescent="0.25">
      <c r="A44" s="694" t="s">
        <v>478</v>
      </c>
      <c r="B44" s="694"/>
      <c r="C44" s="795"/>
      <c r="D44" s="694"/>
    </row>
    <row r="45" spans="1:4" s="629" customFormat="1" outlineLevel="1" x14ac:dyDescent="0.25">
      <c r="A45" s="694" t="s">
        <v>972</v>
      </c>
      <c r="B45" s="694"/>
      <c r="C45" s="795"/>
      <c r="D45" s="694"/>
    </row>
    <row r="46" spans="1:4" s="629" customFormat="1" outlineLevel="1" x14ac:dyDescent="0.25">
      <c r="A46" s="694" t="s">
        <v>1306</v>
      </c>
      <c r="B46" s="694"/>
      <c r="C46" s="795" t="str">
        <f ca="1">Text!C5</f>
        <v>Nein</v>
      </c>
      <c r="D46" s="694"/>
    </row>
    <row r="47" spans="1:4" s="629" customFormat="1" outlineLevel="1" x14ac:dyDescent="0.25">
      <c r="A47" s="343"/>
      <c r="B47" s="694"/>
      <c r="C47" s="795"/>
      <c r="D47" s="694"/>
    </row>
    <row r="48" spans="1:4" s="629" customFormat="1" outlineLevel="1" x14ac:dyDescent="0.25">
      <c r="A48" s="343" t="s">
        <v>1152</v>
      </c>
      <c r="B48" s="694"/>
      <c r="C48" s="795"/>
      <c r="D48" s="694"/>
    </row>
    <row r="49" spans="1:4" s="629" customFormat="1" outlineLevel="1" x14ac:dyDescent="0.25">
      <c r="A49" s="694" t="s">
        <v>1153</v>
      </c>
      <c r="B49" s="694"/>
      <c r="C49" s="795"/>
      <c r="D49" s="694"/>
    </row>
    <row r="50" spans="1:4" s="629" customFormat="1" outlineLevel="1" x14ac:dyDescent="0.25">
      <c r="A50" s="694" t="s">
        <v>873</v>
      </c>
      <c r="B50" s="694"/>
      <c r="C50" s="795"/>
      <c r="D50" s="694"/>
    </row>
    <row r="51" spans="1:4" s="629" customFormat="1" outlineLevel="1" x14ac:dyDescent="0.25">
      <c r="A51" s="694" t="s">
        <v>866</v>
      </c>
      <c r="B51" s="694"/>
      <c r="C51" s="795"/>
      <c r="D51" s="694"/>
    </row>
    <row r="52" spans="1:4" s="629" customFormat="1" outlineLevel="1" x14ac:dyDescent="0.25">
      <c r="A52" s="694" t="s">
        <v>867</v>
      </c>
      <c r="B52" s="694"/>
      <c r="C52" s="795"/>
      <c r="D52" s="694"/>
    </row>
    <row r="53" spans="1:4" s="629" customFormat="1" outlineLevel="1" x14ac:dyDescent="0.25">
      <c r="A53" s="694" t="s">
        <v>868</v>
      </c>
      <c r="B53" s="694"/>
      <c r="C53" s="795"/>
      <c r="D53" s="694"/>
    </row>
    <row r="54" spans="1:4" s="629" customFormat="1" outlineLevel="1" x14ac:dyDescent="0.25">
      <c r="A54" s="694" t="s">
        <v>869</v>
      </c>
      <c r="B54" s="694"/>
      <c r="C54" s="795"/>
      <c r="D54" s="694"/>
    </row>
    <row r="55" spans="1:4" s="629" customFormat="1" outlineLevel="1" x14ac:dyDescent="0.25">
      <c r="A55" s="694" t="s">
        <v>870</v>
      </c>
      <c r="B55" s="694"/>
      <c r="C55" s="795"/>
      <c r="D55" s="694"/>
    </row>
    <row r="56" spans="1:4" s="629" customFormat="1" outlineLevel="1" x14ac:dyDescent="0.25">
      <c r="A56" s="694" t="s">
        <v>871</v>
      </c>
      <c r="B56" s="694"/>
      <c r="C56" s="795"/>
      <c r="D56" s="694"/>
    </row>
    <row r="57" spans="1:4" s="629" customFormat="1" outlineLevel="1" x14ac:dyDescent="0.25">
      <c r="A57" s="694" t="s">
        <v>795</v>
      </c>
      <c r="B57" s="694"/>
      <c r="C57" s="795"/>
      <c r="D57" s="694"/>
    </row>
    <row r="58" spans="1:4" s="629" customFormat="1" outlineLevel="1" x14ac:dyDescent="0.25">
      <c r="A58" s="694" t="s">
        <v>236</v>
      </c>
      <c r="B58" s="694"/>
      <c r="C58" s="796"/>
      <c r="D58" s="694"/>
    </row>
    <row r="59" spans="1:4" s="629" customFormat="1" outlineLevel="1" x14ac:dyDescent="0.25">
      <c r="A59" s="343"/>
      <c r="B59" s="694"/>
      <c r="C59" s="795"/>
      <c r="D59" s="694"/>
    </row>
    <row r="60" spans="1:4" s="629" customFormat="1" outlineLevel="1" x14ac:dyDescent="0.25">
      <c r="A60" s="694" t="s">
        <v>926</v>
      </c>
      <c r="B60" s="694"/>
      <c r="C60" s="795"/>
      <c r="D60" s="694"/>
    </row>
    <row r="61" spans="1:4" s="629" customFormat="1" outlineLevel="1" x14ac:dyDescent="0.25">
      <c r="A61" s="694" t="s">
        <v>759</v>
      </c>
      <c r="B61" s="694"/>
      <c r="C61" s="796"/>
      <c r="D61" s="694"/>
    </row>
    <row r="62" spans="1:4" s="629" customFormat="1" outlineLevel="1" x14ac:dyDescent="0.25">
      <c r="A62" s="346" t="s">
        <v>739</v>
      </c>
      <c r="B62" s="694"/>
      <c r="C62" s="797" t="str">
        <f ca="1">Text!E5</f>
        <v>unbefristet</v>
      </c>
      <c r="D62" s="694"/>
    </row>
    <row r="63" spans="1:4" s="629" customFormat="1" outlineLevel="1" x14ac:dyDescent="0.25">
      <c r="A63" s="694" t="s">
        <v>760</v>
      </c>
      <c r="B63" s="694"/>
      <c r="C63" s="796"/>
      <c r="D63" s="694"/>
    </row>
    <row r="64" spans="1:4" s="629" customFormat="1" outlineLevel="1" x14ac:dyDescent="0.25">
      <c r="A64" s="343"/>
      <c r="B64" s="694"/>
      <c r="C64" s="795"/>
      <c r="D64" s="694"/>
    </row>
    <row r="65" spans="1:4" s="629" customFormat="1" outlineLevel="1" x14ac:dyDescent="0.25">
      <c r="A65" s="694" t="s">
        <v>796</v>
      </c>
      <c r="B65" s="694"/>
      <c r="C65" s="795"/>
      <c r="D65" s="694"/>
    </row>
    <row r="66" spans="1:4" s="629" customFormat="1" outlineLevel="1" x14ac:dyDescent="0.25">
      <c r="A66" s="694" t="s">
        <v>634</v>
      </c>
      <c r="B66" s="694"/>
      <c r="C66" s="795">
        <v>2</v>
      </c>
      <c r="D66" s="694"/>
    </row>
    <row r="67" spans="1:4" s="629" customFormat="1" outlineLevel="1" x14ac:dyDescent="0.25">
      <c r="A67" s="343"/>
      <c r="B67" s="694"/>
      <c r="C67" s="795"/>
      <c r="D67" s="694"/>
    </row>
    <row r="68" spans="1:4" s="629" customFormat="1" outlineLevel="1" x14ac:dyDescent="0.25">
      <c r="A68" s="694" t="s">
        <v>798</v>
      </c>
      <c r="B68" s="694"/>
      <c r="C68" s="795"/>
      <c r="D68" s="694"/>
    </row>
    <row r="69" spans="1:4" s="629" customFormat="1" outlineLevel="1" x14ac:dyDescent="0.25">
      <c r="A69" s="694" t="s">
        <v>861</v>
      </c>
      <c r="B69" s="694"/>
      <c r="C69" s="795" t="str">
        <f ca="1">Text!E67</f>
        <v>Stunden pro Woche</v>
      </c>
      <c r="D69" s="694"/>
    </row>
    <row r="70" spans="1:4" s="629" customFormat="1" outlineLevel="1" x14ac:dyDescent="0.25">
      <c r="A70" s="694" t="s">
        <v>799</v>
      </c>
      <c r="B70" s="694"/>
      <c r="C70" s="798"/>
      <c r="D70" s="694"/>
    </row>
    <row r="71" spans="1:4" s="629" customFormat="1" outlineLevel="1" x14ac:dyDescent="0.25">
      <c r="A71" s="694" t="s">
        <v>940</v>
      </c>
      <c r="B71" s="694"/>
      <c r="C71" s="799"/>
      <c r="D71" s="694"/>
    </row>
    <row r="72" spans="1:4" s="629" customFormat="1" outlineLevel="1" x14ac:dyDescent="0.25">
      <c r="A72" s="343"/>
      <c r="B72" s="694"/>
      <c r="C72" s="795"/>
      <c r="D72" s="694"/>
    </row>
    <row r="73" spans="1:4" s="629" customFormat="1" outlineLevel="1" x14ac:dyDescent="0.25">
      <c r="A73" s="694" t="s">
        <v>1154</v>
      </c>
      <c r="B73" s="694"/>
      <c r="C73" s="795"/>
      <c r="D73" s="694"/>
    </row>
    <row r="74" spans="1:4" s="629" customFormat="1" outlineLevel="1" x14ac:dyDescent="0.25">
      <c r="A74" s="694" t="s">
        <v>598</v>
      </c>
      <c r="B74" s="694"/>
      <c r="C74" s="795" t="str">
        <f ca="1">Text!I4</f>
        <v>Monatslohn</v>
      </c>
      <c r="D74" s="694"/>
    </row>
    <row r="75" spans="1:4" s="629" customFormat="1" outlineLevel="1" x14ac:dyDescent="0.25">
      <c r="A75" s="694" t="s">
        <v>107</v>
      </c>
      <c r="B75" s="694"/>
      <c r="C75" s="795"/>
      <c r="D75" s="694"/>
    </row>
    <row r="76" spans="1:4" s="629" customFormat="1" outlineLevel="1" x14ac:dyDescent="0.25">
      <c r="A76" s="694" t="s">
        <v>803</v>
      </c>
      <c r="B76" s="694"/>
      <c r="C76" s="800"/>
      <c r="D76" s="694"/>
    </row>
    <row r="77" spans="1:4" s="629" customFormat="1" outlineLevel="1" x14ac:dyDescent="0.25">
      <c r="A77" s="694" t="s">
        <v>562</v>
      </c>
      <c r="B77" s="694"/>
      <c r="C77" s="795"/>
      <c r="D77" s="694"/>
    </row>
    <row r="78" spans="1:4" s="629" customFormat="1" outlineLevel="1" x14ac:dyDescent="0.25">
      <c r="A78" s="694" t="s">
        <v>562</v>
      </c>
      <c r="B78" s="694"/>
      <c r="C78" s="801" t="str">
        <f ca="1">Text!K4</f>
        <v>Zuschlag pro geleistete Arbeitsstunde</v>
      </c>
      <c r="D78" s="694"/>
    </row>
    <row r="79" spans="1:4" s="629" customFormat="1" outlineLevel="1" x14ac:dyDescent="0.25">
      <c r="A79" s="694" t="s">
        <v>806</v>
      </c>
      <c r="B79" s="694"/>
      <c r="C79" s="795"/>
      <c r="D79" s="694"/>
    </row>
    <row r="80" spans="1:4" s="629" customFormat="1" outlineLevel="1" x14ac:dyDescent="0.25">
      <c r="A80" s="694" t="s">
        <v>878</v>
      </c>
      <c r="B80" s="694"/>
      <c r="C80" s="795" t="str">
        <f ca="1">Text!C5</f>
        <v>Nein</v>
      </c>
      <c r="D80" s="694"/>
    </row>
    <row r="81" spans="1:4" s="629" customFormat="1" outlineLevel="1" x14ac:dyDescent="0.25">
      <c r="A81" s="694" t="s">
        <v>809</v>
      </c>
      <c r="B81" s="694"/>
      <c r="C81" s="795" t="str">
        <f ca="1">Text!A67</f>
        <v>Dezember</v>
      </c>
      <c r="D81" s="694"/>
    </row>
    <row r="82" spans="1:4" s="629" customFormat="1" outlineLevel="1" x14ac:dyDescent="0.25">
      <c r="A82" s="694" t="s">
        <v>821</v>
      </c>
      <c r="B82" s="694"/>
      <c r="C82" s="795" t="s">
        <v>562</v>
      </c>
      <c r="D82" s="694"/>
    </row>
    <row r="83" spans="1:4" s="629" customFormat="1" outlineLevel="1" x14ac:dyDescent="0.25">
      <c r="A83" s="694" t="s">
        <v>810</v>
      </c>
      <c r="B83" s="694"/>
      <c r="C83" s="795" t="s">
        <v>562</v>
      </c>
      <c r="D83" s="694"/>
    </row>
    <row r="84" spans="1:4" s="629" customFormat="1" outlineLevel="1" x14ac:dyDescent="0.25">
      <c r="A84" s="694"/>
      <c r="B84" s="694"/>
      <c r="C84" s="795"/>
      <c r="D84" s="694"/>
    </row>
    <row r="85" spans="1:4" s="629" customFormat="1" outlineLevel="1" x14ac:dyDescent="0.25">
      <c r="A85" s="694" t="s">
        <v>941</v>
      </c>
      <c r="B85" s="694"/>
      <c r="C85" s="805" t="s">
        <v>942</v>
      </c>
      <c r="D85" s="694" t="s">
        <v>582</v>
      </c>
    </row>
    <row r="86" spans="1:4" s="629" customFormat="1" outlineLevel="1" x14ac:dyDescent="0.25">
      <c r="A86" s="694" t="s">
        <v>943</v>
      </c>
      <c r="B86" s="694"/>
      <c r="C86" s="802">
        <v>5.2999999999999999E-2</v>
      </c>
      <c r="D86" s="697">
        <v>5.2999999999999999E-2</v>
      </c>
    </row>
    <row r="87" spans="1:4" s="629" customFormat="1" outlineLevel="1" x14ac:dyDescent="0.25">
      <c r="A87" s="694" t="s">
        <v>944</v>
      </c>
      <c r="B87" s="694"/>
      <c r="C87" s="803">
        <v>1.0999999999999999E-2</v>
      </c>
      <c r="D87" s="696">
        <v>1.0999999999999999E-2</v>
      </c>
    </row>
    <row r="88" spans="1:4" s="629" customFormat="1" outlineLevel="1" x14ac:dyDescent="0.25">
      <c r="A88" s="694" t="s">
        <v>945</v>
      </c>
      <c r="B88" s="694"/>
      <c r="C88" s="795"/>
      <c r="D88" s="694"/>
    </row>
    <row r="89" spans="1:4" s="629" customFormat="1" outlineLevel="1" x14ac:dyDescent="0.25">
      <c r="A89" s="694" t="s">
        <v>1162</v>
      </c>
      <c r="B89" s="694"/>
      <c r="C89" s="801">
        <v>0</v>
      </c>
      <c r="D89" s="694"/>
    </row>
    <row r="90" spans="1:4" s="629" customFormat="1" outlineLevel="1" x14ac:dyDescent="0.25">
      <c r="A90" s="694" t="s">
        <v>1163</v>
      </c>
      <c r="B90" s="694"/>
      <c r="C90" s="803">
        <v>0</v>
      </c>
      <c r="D90" s="694"/>
    </row>
    <row r="91" spans="1:4" s="629" customFormat="1" outlineLevel="1" x14ac:dyDescent="0.25">
      <c r="A91" s="694" t="s">
        <v>947</v>
      </c>
      <c r="B91" s="694"/>
      <c r="C91" s="795"/>
      <c r="D91" s="694"/>
    </row>
    <row r="92" spans="1:4" s="629" customFormat="1" outlineLevel="1" x14ac:dyDescent="0.25">
      <c r="A92" s="694" t="s">
        <v>1164</v>
      </c>
      <c r="B92" s="694"/>
      <c r="C92" s="804">
        <v>0</v>
      </c>
      <c r="D92" s="694"/>
    </row>
    <row r="93" spans="1:4" s="629" customFormat="1" outlineLevel="1" x14ac:dyDescent="0.25">
      <c r="A93" s="694" t="s">
        <v>1165</v>
      </c>
      <c r="B93" s="694"/>
      <c r="C93" s="795">
        <v>0</v>
      </c>
      <c r="D93" s="694"/>
    </row>
    <row r="94" spans="1:4" s="629" customFormat="1" outlineLevel="1" x14ac:dyDescent="0.25">
      <c r="A94" s="694" t="s">
        <v>948</v>
      </c>
      <c r="B94" s="694"/>
      <c r="C94" s="803">
        <v>0</v>
      </c>
      <c r="D94" s="696">
        <v>0</v>
      </c>
    </row>
    <row r="95" spans="1:4" s="629" customFormat="1" outlineLevel="1" x14ac:dyDescent="0.25">
      <c r="A95" s="694" t="s">
        <v>1307</v>
      </c>
      <c r="B95" s="694"/>
      <c r="C95" s="795">
        <v>0</v>
      </c>
      <c r="D95" s="694">
        <v>0</v>
      </c>
    </row>
    <row r="96" spans="1:4" s="629" customFormat="1" outlineLevel="1" x14ac:dyDescent="0.25">
      <c r="A96" s="694" t="s">
        <v>946</v>
      </c>
      <c r="B96" s="694"/>
      <c r="C96" s="803">
        <v>0</v>
      </c>
      <c r="D96" s="696">
        <v>0</v>
      </c>
    </row>
    <row r="97" spans="1:4" s="629" customFormat="1" outlineLevel="1" x14ac:dyDescent="0.25">
      <c r="A97" s="694" t="s">
        <v>949</v>
      </c>
      <c r="B97" s="694"/>
      <c r="C97" s="803">
        <v>0</v>
      </c>
      <c r="D97" s="696">
        <v>0</v>
      </c>
    </row>
    <row r="98" spans="1:4" s="629" customFormat="1" outlineLevel="1" x14ac:dyDescent="0.25">
      <c r="A98" s="694"/>
      <c r="B98" s="694"/>
      <c r="C98" s="795"/>
      <c r="D98" s="694"/>
    </row>
    <row r="99" spans="1:4" s="629" customFormat="1" outlineLevel="1" x14ac:dyDescent="0.25">
      <c r="A99" s="694" t="s">
        <v>951</v>
      </c>
      <c r="B99" s="694"/>
      <c r="C99" s="803" t="str">
        <f ca="1">Text!C5</f>
        <v>Nein</v>
      </c>
      <c r="D99" s="694"/>
    </row>
    <row r="100" spans="1:4" s="629" customFormat="1" outlineLevel="1" x14ac:dyDescent="0.25">
      <c r="A100" s="694" t="s">
        <v>953</v>
      </c>
      <c r="B100" s="694"/>
      <c r="C100" s="803" t="str">
        <f ca="1">Text!C5</f>
        <v>Nein</v>
      </c>
      <c r="D100" s="694"/>
    </row>
    <row r="101" spans="1:4" s="629" customFormat="1" outlineLevel="1" x14ac:dyDescent="0.25">
      <c r="A101" s="694"/>
      <c r="B101" s="694"/>
      <c r="C101" s="795"/>
      <c r="D101" s="694"/>
    </row>
    <row r="102" spans="1:4" s="629" customFormat="1" outlineLevel="1" x14ac:dyDescent="0.25">
      <c r="A102" s="343" t="s">
        <v>811</v>
      </c>
      <c r="B102" s="694"/>
      <c r="C102" s="795"/>
      <c r="D102" s="694"/>
    </row>
    <row r="103" spans="1:4" s="629" customFormat="1" outlineLevel="1" x14ac:dyDescent="0.25">
      <c r="A103" s="694" t="s">
        <v>880</v>
      </c>
      <c r="B103" s="694"/>
      <c r="C103" s="795">
        <v>4</v>
      </c>
      <c r="D103" s="694"/>
    </row>
    <row r="104" spans="1:4" s="629" customFormat="1" outlineLevel="1" x14ac:dyDescent="0.25">
      <c r="A104" s="694" t="s">
        <v>638</v>
      </c>
      <c r="B104" s="694"/>
      <c r="C104" s="795" t="str">
        <f ca="1">Text!C5</f>
        <v>Nein</v>
      </c>
      <c r="D104" s="694"/>
    </row>
    <row r="105" spans="1:4" s="629" customFormat="1" outlineLevel="1" x14ac:dyDescent="0.25">
      <c r="A105" s="343" t="s">
        <v>824</v>
      </c>
      <c r="B105" s="694"/>
      <c r="C105" s="795"/>
      <c r="D105" s="694"/>
    </row>
    <row r="106" spans="1:4" s="629" customFormat="1" outlineLevel="1" x14ac:dyDescent="0.25">
      <c r="A106" s="694"/>
      <c r="B106" s="694"/>
      <c r="C106" s="795"/>
      <c r="D106" s="694"/>
    </row>
    <row r="107" spans="1:4" s="629" customFormat="1" outlineLevel="1" x14ac:dyDescent="0.25">
      <c r="A107" s="694" t="s">
        <v>825</v>
      </c>
      <c r="B107" s="694"/>
      <c r="C107" s="795">
        <v>2</v>
      </c>
      <c r="D107" s="694"/>
    </row>
    <row r="108" spans="1:4" s="629" customFormat="1" outlineLevel="1" x14ac:dyDescent="0.25">
      <c r="A108" s="694" t="s">
        <v>826</v>
      </c>
      <c r="B108" s="694"/>
      <c r="C108" s="795">
        <v>2</v>
      </c>
      <c r="D108" s="694"/>
    </row>
    <row r="109" spans="1:4" s="629" customFormat="1" outlineLevel="1" x14ac:dyDescent="0.25">
      <c r="A109" s="694" t="s">
        <v>827</v>
      </c>
      <c r="B109" s="694"/>
      <c r="C109" s="795"/>
      <c r="D109" s="694"/>
    </row>
    <row r="110" spans="1:4" s="629" customFormat="1" outlineLevel="1" x14ac:dyDescent="0.25">
      <c r="A110" s="694" t="s">
        <v>385</v>
      </c>
      <c r="B110" s="694"/>
      <c r="C110" s="795"/>
      <c r="D110" s="694"/>
    </row>
    <row r="111" spans="1:4" s="629" customFormat="1" outlineLevel="1" x14ac:dyDescent="0.25">
      <c r="A111" s="694" t="s">
        <v>386</v>
      </c>
      <c r="B111" s="694"/>
      <c r="C111" s="795"/>
      <c r="D111" s="694"/>
    </row>
    <row r="112" spans="1:4" s="629" customFormat="1" outlineLevel="1" x14ac:dyDescent="0.25">
      <c r="A112" s="694"/>
      <c r="B112" s="694"/>
      <c r="C112" s="795"/>
      <c r="D112" s="694"/>
    </row>
    <row r="113" spans="1:4" s="629" customFormat="1" outlineLevel="1" x14ac:dyDescent="0.25">
      <c r="A113" s="343" t="s">
        <v>851</v>
      </c>
      <c r="B113" s="694"/>
      <c r="C113" s="795"/>
      <c r="D113" s="694"/>
    </row>
    <row r="114" spans="1:4" s="629" customFormat="1" outlineLevel="1" x14ac:dyDescent="0.25">
      <c r="A114" s="694"/>
      <c r="B114" s="694"/>
      <c r="C114" s="795"/>
      <c r="D114" s="694"/>
    </row>
    <row r="115" spans="1:4" s="629" customFormat="1" outlineLevel="1" x14ac:dyDescent="0.25">
      <c r="A115" s="694"/>
      <c r="B115" s="694"/>
      <c r="C115" s="795"/>
      <c r="D115" s="694"/>
    </row>
    <row r="116" spans="1:4" s="629" customFormat="1" outlineLevel="1" x14ac:dyDescent="0.25">
      <c r="A116" s="694"/>
      <c r="B116" s="694"/>
      <c r="C116" s="795"/>
      <c r="D116" s="694"/>
    </row>
    <row r="117" spans="1:4" s="629" customFormat="1" outlineLevel="1" x14ac:dyDescent="0.25">
      <c r="A117" s="694" t="s">
        <v>853</v>
      </c>
      <c r="B117" s="694"/>
      <c r="C117" s="795" t="str">
        <f>""</f>
        <v/>
      </c>
      <c r="D117" s="694"/>
    </row>
    <row r="118" spans="1:4" s="629" customFormat="1" outlineLevel="1" x14ac:dyDescent="0.25">
      <c r="A118" s="694" t="s">
        <v>1064</v>
      </c>
      <c r="B118" s="694"/>
      <c r="C118" s="795"/>
      <c r="D118" s="694"/>
    </row>
    <row r="119" spans="1:4" s="629" customFormat="1" outlineLevel="1" x14ac:dyDescent="0.25">
      <c r="A119" s="694" t="s">
        <v>1062</v>
      </c>
      <c r="B119" s="694"/>
      <c r="C119" s="795"/>
      <c r="D119" s="694"/>
    </row>
    <row r="120" spans="1:4" s="629" customFormat="1" outlineLevel="1" x14ac:dyDescent="0.25">
      <c r="A120" s="694" t="s">
        <v>755</v>
      </c>
      <c r="B120" s="694"/>
      <c r="C120" s="795"/>
      <c r="D120" s="694"/>
    </row>
    <row r="121" spans="1:4" s="629" customFormat="1" outlineLevel="1" x14ac:dyDescent="0.25">
      <c r="A121" s="694"/>
      <c r="B121" s="694"/>
      <c r="C121" s="795"/>
      <c r="D121" s="694"/>
    </row>
    <row r="122" spans="1:4" s="629" customFormat="1" outlineLevel="1" x14ac:dyDescent="0.25">
      <c r="A122" s="694" t="s">
        <v>1063</v>
      </c>
      <c r="B122" s="694"/>
      <c r="C122" s="795"/>
      <c r="D122" s="694"/>
    </row>
    <row r="123" spans="1:4" s="629" customFormat="1" outlineLevel="1" x14ac:dyDescent="0.25">
      <c r="A123" s="694" t="s">
        <v>72</v>
      </c>
      <c r="B123" s="694"/>
      <c r="C123" s="795" t="str">
        <f ca="1">Text!C5</f>
        <v>Nein</v>
      </c>
      <c r="D123" s="694"/>
    </row>
    <row r="124" spans="1:4" s="629" customFormat="1" outlineLevel="1" x14ac:dyDescent="0.25">
      <c r="A124" s="694" t="s">
        <v>854</v>
      </c>
      <c r="B124" s="694"/>
      <c r="C124" s="795"/>
      <c r="D124" s="694"/>
    </row>
    <row r="125" spans="1:4" s="629" customFormat="1" outlineLevel="1" x14ac:dyDescent="0.25">
      <c r="A125" s="694" t="s">
        <v>958</v>
      </c>
      <c r="B125" s="694"/>
      <c r="C125" s="795"/>
      <c r="D125" s="694"/>
    </row>
    <row r="126" spans="1:4" s="629" customFormat="1" outlineLevel="1" x14ac:dyDescent="0.25">
      <c r="A126" s="694" t="s">
        <v>1065</v>
      </c>
      <c r="B126" s="694"/>
      <c r="C126" s="795"/>
      <c r="D126" s="694"/>
    </row>
    <row r="127" spans="1:4" s="629" customFormat="1" outlineLevel="1" x14ac:dyDescent="0.25">
      <c r="A127" s="694" t="s">
        <v>1066</v>
      </c>
      <c r="B127" s="694"/>
      <c r="C127" s="795"/>
      <c r="D127" s="694"/>
    </row>
    <row r="128" spans="1:4" s="629" customFormat="1" outlineLevel="1" x14ac:dyDescent="0.25">
      <c r="A128" s="694" t="s">
        <v>569</v>
      </c>
      <c r="B128" s="694"/>
      <c r="C128" s="795"/>
      <c r="D128" s="694"/>
    </row>
    <row r="129" spans="1:4" s="629" customFormat="1" outlineLevel="1" x14ac:dyDescent="0.25">
      <c r="A129" s="694"/>
      <c r="B129" s="694"/>
      <c r="C129" s="795"/>
      <c r="D129" s="694"/>
    </row>
    <row r="130" spans="1:4" s="629" customFormat="1" outlineLevel="1" x14ac:dyDescent="0.25">
      <c r="A130" s="694" t="s">
        <v>1067</v>
      </c>
      <c r="B130" s="694"/>
      <c r="C130" s="795"/>
      <c r="D130" s="694"/>
    </row>
    <row r="131" spans="1:4" s="629" customFormat="1" outlineLevel="1" x14ac:dyDescent="0.25">
      <c r="A131" s="694" t="s">
        <v>857</v>
      </c>
      <c r="B131" s="694"/>
      <c r="C131" s="795">
        <v>3</v>
      </c>
      <c r="D131" s="694"/>
    </row>
    <row r="132" spans="1:4" s="629" customFormat="1" x14ac:dyDescent="0.25">
      <c r="A132" s="694"/>
      <c r="B132" s="694"/>
      <c r="C132" s="795"/>
      <c r="D132" s="694"/>
    </row>
  </sheetData>
  <phoneticPr fontId="0" type="noConversion"/>
  <conditionalFormatting sqref="A27:D42 C43:C46 A43:B131 D43:D131 C61:C62 C65:C108 C112:C116 C123 C129:C131">
    <cfRule type="expression" dxfId="10" priority="1" stopIfTrue="1">
      <formula>$A$28="default"</formula>
    </cfRule>
  </conditionalFormatting>
  <pageMargins left="0.51181102362204722" right="0.19685039370078741" top="0.98425196850393704" bottom="0.78740157480314965" header="0.70866141732283472" footer="0.51181102362204722"/>
  <pageSetup paperSize="9" scale="72" orientation="portrait" r:id="rId1"/>
  <headerFooter alignWithMargins="0">
    <oddFooter>&amp;L&amp;8 LAM © Assistenzbüro ABü 2022 - V2.0&amp;R&amp;8&amp;P/&amp;N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0">
    <outlinePr showOutlineSymbols="0"/>
    <pageSetUpPr fitToPage="1"/>
  </sheetPr>
  <dimension ref="A1:K131"/>
  <sheetViews>
    <sheetView showGridLines="0" showOutlineSymbols="0" workbookViewId="0">
      <selection activeCell="C20" sqref="C20"/>
    </sheetView>
  </sheetViews>
  <sheetFormatPr baseColWidth="10" defaultColWidth="11.33203125" defaultRowHeight="13.2" x14ac:dyDescent="0.25"/>
  <cols>
    <col min="1" max="1" width="55.6640625" style="1" customWidth="1"/>
    <col min="2" max="2" width="30.6640625" style="1" customWidth="1"/>
    <col min="3" max="3" width="30.6640625" style="2" customWidth="1"/>
    <col min="4" max="4" width="18.88671875" style="1" bestFit="1" customWidth="1"/>
    <col min="5" max="16384" width="11.33203125" style="1"/>
  </cols>
  <sheetData>
    <row r="1" spans="1:11" ht="17.399999999999999" x14ac:dyDescent="0.3">
      <c r="A1" s="533" t="str">
        <f t="shared" ref="A1:A6" ca="1" si="0">INDIRECT(ADDRESS(ROW()+N_Offset_E,COLUMN()+(N_SpracheAuswahl)*26,,,"Text"))</f>
        <v>Lohnabrechnung LAM: Übertrag der Daten ins neue LAM</v>
      </c>
    </row>
    <row r="2" spans="1:11" x14ac:dyDescent="0.25">
      <c r="A2" s="7" t="str">
        <f t="shared" ca="1" si="0"/>
        <v>Bei der Eröffnung eines neuen LAM können die Daten von hier aus dem Blatt "E" (Export) in das Blatt "I" (Import) des neuen LAM kopiert werden:</v>
      </c>
    </row>
    <row r="3" spans="1:11" x14ac:dyDescent="0.25">
      <c r="A3" s="544" t="str">
        <f t="shared" ca="1" si="0"/>
        <v>1. Hier im alten LAM ganzes Blatt "E" zum Exportieren markieren (Taste "Control" halten, dann zweimal Taste "a" drücken)</v>
      </c>
    </row>
    <row r="4" spans="1:11" x14ac:dyDescent="0.25">
      <c r="A4" s="544" t="str">
        <f t="shared" ca="1" si="0"/>
        <v>2. Kopieren (Control + c)</v>
      </c>
    </row>
    <row r="5" spans="1:11" x14ac:dyDescent="0.25">
      <c r="A5" s="544" t="str">
        <f t="shared" ca="1" si="0"/>
        <v>3. Zum neuen LAM wechseln und auf Blatt "I" die Zelle A1 markieren</v>
      </c>
    </row>
    <row r="6" spans="1:11" x14ac:dyDescent="0.25">
      <c r="A6" s="544" t="str">
        <f t="shared" ca="1" si="0"/>
        <v>4. Rechtsklick in Zelle A1 &gt; "Inhalte einfügen..." anwählen, "Werte" aktivieren und "ok" drücken</v>
      </c>
    </row>
    <row r="7" spans="1:11" x14ac:dyDescent="0.25">
      <c r="A7" s="544"/>
    </row>
    <row r="8" spans="1:11" x14ac:dyDescent="0.25">
      <c r="A8" s="544"/>
    </row>
    <row r="9" spans="1:11" x14ac:dyDescent="0.25">
      <c r="B9" s="55"/>
      <c r="C9" s="221"/>
      <c r="D9" s="55"/>
      <c r="E9" s="55"/>
      <c r="F9" s="55"/>
      <c r="G9" s="55"/>
      <c r="H9" s="55"/>
      <c r="I9" s="55"/>
      <c r="J9" s="55"/>
      <c r="K9" s="55"/>
    </row>
    <row r="10" spans="1:11" x14ac:dyDescent="0.25">
      <c r="B10" s="55"/>
      <c r="C10" s="221"/>
      <c r="D10" s="55"/>
      <c r="E10" s="55"/>
      <c r="F10" s="55"/>
      <c r="G10" s="55"/>
      <c r="H10" s="55"/>
      <c r="I10" s="55"/>
      <c r="J10" s="55"/>
      <c r="K10" s="55"/>
    </row>
    <row r="11" spans="1:11" ht="16.2" thickBot="1" x14ac:dyDescent="0.3">
      <c r="A11" s="545" t="str">
        <f t="shared" ref="A11:A26" ca="1" si="1">INDIRECT(ADDRESS(ROW()+N_Offset_E,COLUMN()+(N_SpracheAuswahl)*26,,,"Text"))</f>
        <v>Zu exportierende Daten:</v>
      </c>
      <c r="B11" s="55"/>
      <c r="C11" s="221" t="str">
        <f ca="1">INDIRECT(ADDRESS(ROW()+N_Offset_E,COLUMN()+(N_SpracheAuswahl)*26,,,"Text"))</f>
        <v>Werte für Übertrag ins neue LAM</v>
      </c>
      <c r="E11" s="55"/>
      <c r="F11" s="55"/>
      <c r="G11" s="55"/>
      <c r="K11" s="55"/>
    </row>
    <row r="12" spans="1:11" x14ac:dyDescent="0.25">
      <c r="A12" s="548" t="str">
        <f t="shared" ca="1" si="1"/>
        <v>Saldo Soll-Arbeitszeit</v>
      </c>
      <c r="B12" s="549"/>
      <c r="C12" s="551">
        <f ca="1">' 12 '!F307</f>
        <v>0</v>
      </c>
      <c r="D12" s="87" t="str">
        <f t="shared" ref="D12:D26" ca="1" si="2">INDIRECT(ADDRESS(ROW()+N_Offset_E,COLUMN()+(N_SpracheAuswahl)*26,,,"Text"))</f>
        <v>Stunden</v>
      </c>
      <c r="E12" s="87"/>
      <c r="K12" s="87"/>
    </row>
    <row r="13" spans="1:11" x14ac:dyDescent="0.25">
      <c r="A13" s="548" t="str">
        <f t="shared" ca="1" si="1"/>
        <v>Ferienguthaben (Rest aus Vorjahr)</v>
      </c>
      <c r="B13" s="549"/>
      <c r="C13" s="552">
        <f ca="1">' 12 '!AT295</f>
        <v>28</v>
      </c>
      <c r="D13" s="87" t="str">
        <f t="shared" ca="1" si="2"/>
        <v>Kalendertage</v>
      </c>
      <c r="E13" s="87"/>
    </row>
    <row r="14" spans="1:11" x14ac:dyDescent="0.25">
      <c r="A14" s="548" t="str">
        <f t="shared" ca="1" si="1"/>
        <v>Ereignisdauer 324 Ende Vorjahr</v>
      </c>
      <c r="B14" s="549"/>
      <c r="C14" s="553">
        <f ca="1">' 12 '!AV295</f>
        <v>0</v>
      </c>
      <c r="D14" s="55" t="str">
        <f t="shared" ca="1" si="2"/>
        <v>Tage</v>
      </c>
      <c r="E14" s="87"/>
    </row>
    <row r="15" spans="1:11" x14ac:dyDescent="0.25">
      <c r="A15" s="57" t="str">
        <f t="shared" ca="1" si="1"/>
        <v>kumulierte Arbeitsunfähigkeit im Dienstjahr wegen Krankheit (gem. OR 324a)</v>
      </c>
      <c r="B15" s="550"/>
      <c r="C15" s="554">
        <f ca="1">' 12 '!BB295</f>
        <v>0</v>
      </c>
      <c r="D15" s="55" t="str">
        <f t="shared" ca="1" si="2"/>
        <v>Tage</v>
      </c>
      <c r="E15" s="55"/>
    </row>
    <row r="16" spans="1:11" x14ac:dyDescent="0.25">
      <c r="A16" s="57" t="str">
        <f t="shared" ca="1" si="1"/>
        <v>kumulierte Arbeitsunfähigkeit wegen Unfall</v>
      </c>
      <c r="B16" s="550"/>
      <c r="C16" s="554">
        <f ca="1">' 12 '!BE295</f>
        <v>0</v>
      </c>
      <c r="D16" s="55" t="str">
        <f t="shared" ca="1" si="2"/>
        <v>Tage</v>
      </c>
      <c r="E16" s="55"/>
    </row>
    <row r="17" spans="1:11" x14ac:dyDescent="0.25">
      <c r="A17" s="57" t="str">
        <f t="shared" ca="1" si="1"/>
        <v>kumulierte Arbeitsunfähigkeit wegen Mutterschaft</v>
      </c>
      <c r="B17" s="550"/>
      <c r="C17" s="554">
        <f ca="1">' 12 '!BG295</f>
        <v>0</v>
      </c>
      <c r="D17" s="55" t="str">
        <f t="shared" ca="1" si="2"/>
        <v>Tage</v>
      </c>
      <c r="E17" s="55"/>
    </row>
    <row r="18" spans="1:11" x14ac:dyDescent="0.25">
      <c r="A18" s="57" t="str">
        <f t="shared" ca="1" si="1"/>
        <v>Verlängerung der Probezeit</v>
      </c>
      <c r="B18" s="550"/>
      <c r="C18" s="553">
        <f ca="1">' 12 '!AK295</f>
        <v>0</v>
      </c>
      <c r="D18" s="55" t="str">
        <f t="shared" ca="1" si="2"/>
        <v>Tage</v>
      </c>
      <c r="E18" s="55"/>
    </row>
    <row r="19" spans="1:11" x14ac:dyDescent="0.25">
      <c r="A19" s="57" t="str">
        <f t="shared" ca="1" si="1"/>
        <v>Laufende Sperrfrist</v>
      </c>
      <c r="B19" s="550"/>
      <c r="C19" s="553">
        <f ca="1">' 12 '!AP295</f>
        <v>0</v>
      </c>
      <c r="D19" s="55" t="str">
        <f t="shared" ca="1" si="2"/>
        <v>Tage</v>
      </c>
      <c r="E19" s="55"/>
    </row>
    <row r="20" spans="1:11" x14ac:dyDescent="0.25">
      <c r="A20" s="57" t="str">
        <f t="shared" ca="1" si="1"/>
        <v>Aktuelle Stillstandsdauer</v>
      </c>
      <c r="B20" s="550"/>
      <c r="C20" s="553">
        <f ca="1">' 12 '!AR295</f>
        <v>0</v>
      </c>
      <c r="D20" s="55" t="str">
        <f t="shared" ca="1" si="2"/>
        <v>Tage</v>
      </c>
      <c r="E20" s="55"/>
      <c r="K20" s="55"/>
    </row>
    <row r="21" spans="1:11" x14ac:dyDescent="0.25">
      <c r="A21" s="57" t="str">
        <f t="shared" ca="1" si="1"/>
        <v>geleistete Stunden mit Quali B im Oktober</v>
      </c>
      <c r="B21" s="550"/>
      <c r="C21" s="553">
        <f ca="1">' 10 '!P29</f>
        <v>0</v>
      </c>
      <c r="D21" s="55" t="str">
        <f t="shared" ca="1" si="2"/>
        <v>Stunden</v>
      </c>
      <c r="E21" s="55"/>
      <c r="K21" s="55"/>
    </row>
    <row r="22" spans="1:11" x14ac:dyDescent="0.25">
      <c r="A22" s="57" t="str">
        <f t="shared" ca="1" si="1"/>
        <v>geleistete Stunden mit Quali B im November</v>
      </c>
      <c r="B22" s="550"/>
      <c r="C22" s="553">
        <f ca="1">' 11 '!P29</f>
        <v>0</v>
      </c>
      <c r="D22" s="55" t="str">
        <f t="shared" ca="1" si="2"/>
        <v>Stunden</v>
      </c>
      <c r="E22" s="55"/>
      <c r="K22" s="55"/>
    </row>
    <row r="23" spans="1:11" x14ac:dyDescent="0.25">
      <c r="A23" s="57" t="str">
        <f t="shared" ca="1" si="1"/>
        <v>geleistete Stunden mit Quali B im Dezember</v>
      </c>
      <c r="B23" s="550"/>
      <c r="C23" s="553">
        <f ca="1">' 12 '!P29</f>
        <v>0</v>
      </c>
      <c r="D23" s="55" t="str">
        <f t="shared" ca="1" si="2"/>
        <v>Stunden</v>
      </c>
      <c r="E23" s="55"/>
      <c r="K23" s="55"/>
    </row>
    <row r="24" spans="1:11" x14ac:dyDescent="0.25">
      <c r="A24" s="57" t="str">
        <f t="shared" ca="1" si="1"/>
        <v>geleistete Nächte im Oktober</v>
      </c>
      <c r="B24" s="550"/>
      <c r="C24" s="553">
        <f ca="1">' 10 '!P30</f>
        <v>0</v>
      </c>
      <c r="D24" s="55" t="str">
        <f t="shared" ca="1" si="2"/>
        <v>Nächte</v>
      </c>
      <c r="E24" s="55"/>
      <c r="K24" s="55"/>
    </row>
    <row r="25" spans="1:11" x14ac:dyDescent="0.25">
      <c r="A25" s="57" t="str">
        <f t="shared" ca="1" si="1"/>
        <v>geleistete Nächte im November</v>
      </c>
      <c r="B25" s="550"/>
      <c r="C25" s="553">
        <f ca="1">' 11 '!P30</f>
        <v>0</v>
      </c>
      <c r="D25" s="55" t="str">
        <f t="shared" ca="1" si="2"/>
        <v>Nächte</v>
      </c>
      <c r="E25" s="55"/>
      <c r="K25" s="55"/>
    </row>
    <row r="26" spans="1:11" ht="13.8" thickBot="1" x14ac:dyDescent="0.3">
      <c r="A26" s="57" t="str">
        <f t="shared" ca="1" si="1"/>
        <v>geleistete Nächte im Dezember</v>
      </c>
      <c r="B26" s="550"/>
      <c r="C26" s="555">
        <f ca="1">' 12 '!P30</f>
        <v>0</v>
      </c>
      <c r="D26" s="55" t="str">
        <f t="shared" ca="1" si="2"/>
        <v>Nächte</v>
      </c>
      <c r="E26" s="55"/>
      <c r="K26" s="55"/>
    </row>
    <row r="27" spans="1:11" x14ac:dyDescent="0.25">
      <c r="B27" s="55"/>
      <c r="C27" s="221"/>
      <c r="D27" s="55"/>
      <c r="E27" s="55"/>
      <c r="F27" s="55"/>
      <c r="G27" s="55"/>
      <c r="H27" s="55"/>
      <c r="I27" s="55"/>
      <c r="J27" s="55"/>
      <c r="K27" s="55"/>
    </row>
    <row r="28" spans="1:11" x14ac:dyDescent="0.25">
      <c r="B28" s="84"/>
      <c r="C28" s="221"/>
      <c r="D28" s="84"/>
      <c r="E28" s="84"/>
      <c r="F28" s="84"/>
      <c r="G28" s="84"/>
      <c r="H28" s="84"/>
      <c r="I28" s="84"/>
      <c r="J28" s="84"/>
      <c r="K28" s="84"/>
    </row>
    <row r="29" spans="1:11" ht="15.6" x14ac:dyDescent="0.3">
      <c r="A29" s="546" t="str">
        <f ca="1">INDIRECT(ADDRESS(ROW()+N_Offset_E,COLUMN()+(N_SpracheAuswahl)*26,,,"Text"))</f>
        <v>Übertrag Basisdaten</v>
      </c>
    </row>
    <row r="30" spans="1:11" x14ac:dyDescent="0.25">
      <c r="A30" s="1" t="str">
        <f ca="1">INDIRECT(ADDRESS(ROW()+N_Offset_E,COLUMN()+(N_SpracheAuswahl)*26,,,"Text"))</f>
        <v>Jahr, für welches diese Abrechnung eingesetzt wurde:</v>
      </c>
      <c r="C30" s="2">
        <f>'  B  '!C13</f>
        <v>2024</v>
      </c>
    </row>
    <row r="35" spans="1:3" x14ac:dyDescent="0.25">
      <c r="A35" s="3" t="str">
        <f ca="1">'  B  '!A18</f>
        <v>Angaben zum Arbeitgeber / zur Arbeitgeberin</v>
      </c>
    </row>
    <row r="36" spans="1:3" x14ac:dyDescent="0.25">
      <c r="A36" s="1" t="str">
        <f ca="1">'  B  '!A19</f>
        <v>Vorname</v>
      </c>
      <c r="C36" s="2" t="str">
        <f>'  B  '!C19</f>
        <v/>
      </c>
    </row>
    <row r="37" spans="1:3" x14ac:dyDescent="0.25">
      <c r="A37" s="1" t="str">
        <f ca="1">'  B  '!A20</f>
        <v>Name</v>
      </c>
      <c r="C37" s="2" t="str">
        <f>'  B  '!C20</f>
        <v/>
      </c>
    </row>
    <row r="38" spans="1:3" x14ac:dyDescent="0.25">
      <c r="A38" s="1" t="str">
        <f ca="1">'  B  '!A21</f>
        <v>Adresse</v>
      </c>
      <c r="C38" s="2" t="str">
        <f>'  B  '!C21</f>
        <v/>
      </c>
    </row>
    <row r="39" spans="1:3" x14ac:dyDescent="0.25">
      <c r="A39" s="1" t="str">
        <f ca="1">'  B  '!A22</f>
        <v>Adresszusatz</v>
      </c>
      <c r="C39" s="2" t="str">
        <f>'  B  '!C22</f>
        <v/>
      </c>
    </row>
    <row r="40" spans="1:3" x14ac:dyDescent="0.25">
      <c r="A40" s="1" t="str">
        <f ca="1">'  B  '!A23</f>
        <v>PLZ</v>
      </c>
      <c r="C40" s="2" t="str">
        <f>'  B  '!C23</f>
        <v/>
      </c>
    </row>
    <row r="41" spans="1:3" x14ac:dyDescent="0.25">
      <c r="A41" s="1" t="str">
        <f ca="1">'  B  '!A24</f>
        <v>Ort</v>
      </c>
      <c r="C41" s="2" t="str">
        <f>'  B  '!C24</f>
        <v/>
      </c>
    </row>
    <row r="43" spans="1:3" x14ac:dyDescent="0.25">
      <c r="A43" s="1" t="str">
        <f ca="1">'  B  '!A26</f>
        <v>Nehmen Sie am Assistenzbeitrag der IV teil?</v>
      </c>
      <c r="C43" s="2">
        <f>'  B  '!C26</f>
        <v>0</v>
      </c>
    </row>
    <row r="44" spans="1:3" x14ac:dyDescent="0.25">
      <c r="A44" s="1" t="str">
        <f ca="1">'  B  '!A27</f>
        <v>Verfügung ausgestellt im Jahr</v>
      </c>
      <c r="C44" s="2" t="str">
        <f>'  B  '!C27</f>
        <v/>
      </c>
    </row>
    <row r="45" spans="1:3" x14ac:dyDescent="0.25">
      <c r="A45" s="1" t="str">
        <f ca="1">'  B  '!A28</f>
        <v>Ansatz für die Nacht</v>
      </c>
      <c r="C45" s="2">
        <f>'  B  '!C28</f>
        <v>0</v>
      </c>
    </row>
    <row r="46" spans="1:3" x14ac:dyDescent="0.25">
      <c r="A46" s="1" t="str">
        <f ca="1">'  B  '!A29</f>
        <v>Nehmen Sie an einem kantonalen Assistenzbudget teil?</v>
      </c>
      <c r="C46" s="2" t="str">
        <f>'  B  '!C29</f>
        <v>Ja</v>
      </c>
    </row>
    <row r="48" spans="1:3" x14ac:dyDescent="0.25">
      <c r="A48" s="3" t="str">
        <f ca="1">'  B  '!A31</f>
        <v>Angaben aus dem Arbeitsvertrag</v>
      </c>
    </row>
    <row r="49" spans="1:3" x14ac:dyDescent="0.25">
      <c r="A49" s="3" t="str">
        <f ca="1">'  B  '!A32</f>
        <v>1. Personalien der Assistenzperson</v>
      </c>
    </row>
    <row r="50" spans="1:3" x14ac:dyDescent="0.25">
      <c r="A50" s="1" t="str">
        <f ca="1">'  B  '!A33</f>
        <v>Anrede</v>
      </c>
      <c r="C50" s="2" t="str">
        <f>'  B  '!C33</f>
        <v/>
      </c>
    </row>
    <row r="51" spans="1:3" x14ac:dyDescent="0.25">
      <c r="A51" s="1" t="str">
        <f ca="1">'  B  '!A34</f>
        <v>Vorname</v>
      </c>
      <c r="C51" s="2" t="str">
        <f>'  B  '!C34</f>
        <v/>
      </c>
    </row>
    <row r="52" spans="1:3" x14ac:dyDescent="0.25">
      <c r="A52" s="1" t="str">
        <f ca="1">'  B  '!A35</f>
        <v>Name</v>
      </c>
      <c r="C52" s="2" t="str">
        <f>'  B  '!C35</f>
        <v/>
      </c>
    </row>
    <row r="53" spans="1:3" x14ac:dyDescent="0.25">
      <c r="A53" s="1" t="str">
        <f ca="1">'  B  '!A36</f>
        <v>Adresse</v>
      </c>
      <c r="C53" s="2" t="str">
        <f>'  B  '!C36</f>
        <v/>
      </c>
    </row>
    <row r="54" spans="1:3" x14ac:dyDescent="0.25">
      <c r="A54" s="1" t="str">
        <f ca="1">'  B  '!A37</f>
        <v>Adresszusatz</v>
      </c>
      <c r="C54" s="2" t="str">
        <f>'  B  '!C37</f>
        <v/>
      </c>
    </row>
    <row r="55" spans="1:3" x14ac:dyDescent="0.25">
      <c r="A55" s="1" t="str">
        <f ca="1">'  B  '!A38</f>
        <v>PLZ</v>
      </c>
      <c r="C55" s="2" t="str">
        <f>'  B  '!C38</f>
        <v/>
      </c>
    </row>
    <row r="56" spans="1:3" x14ac:dyDescent="0.25">
      <c r="A56" s="1" t="str">
        <f ca="1">'  B  '!A39</f>
        <v>Ort</v>
      </c>
      <c r="C56" s="2" t="str">
        <f>'  B  '!C39</f>
        <v/>
      </c>
    </row>
    <row r="57" spans="1:3" x14ac:dyDescent="0.25">
      <c r="A57" s="1" t="str">
        <f ca="1">'  B  '!A40</f>
        <v>Versichertennummer (AHV-Nr.)</v>
      </c>
      <c r="C57" s="2" t="str">
        <f>'  B  '!C40</f>
        <v/>
      </c>
    </row>
    <row r="58" spans="1:3" x14ac:dyDescent="0.25">
      <c r="A58" s="1" t="str">
        <f ca="1">'  B  '!A41</f>
        <v>Geburtsdatum</v>
      </c>
      <c r="C58" s="351">
        <f>'  B  '!C41</f>
        <v>0</v>
      </c>
    </row>
    <row r="60" spans="1:3" x14ac:dyDescent="0.25">
      <c r="A60" s="3" t="str">
        <f ca="1">'  B  '!A43</f>
        <v>2. Stellenantritt und Dauer des Arbeitsverhältnisses (Abschnitt 2 des Musterarbeitsvertrages)</v>
      </c>
    </row>
    <row r="61" spans="1:3" x14ac:dyDescent="0.25">
      <c r="A61" s="1" t="str">
        <f ca="1">'  B  '!A44</f>
        <v>Beginn Arbeitsverhältnis</v>
      </c>
      <c r="C61" s="351">
        <f>'  B  '!C44</f>
        <v>0</v>
      </c>
    </row>
    <row r="62" spans="1:3" x14ac:dyDescent="0.25">
      <c r="A62" s="1" t="str">
        <f ca="1">'  B  '!A45</f>
        <v>Art des Arbeitsverhältnisses</v>
      </c>
      <c r="C62" s="2" t="str">
        <f ca="1">'  B  '!C45</f>
        <v>unbefristet</v>
      </c>
    </row>
    <row r="63" spans="1:3" x14ac:dyDescent="0.25">
      <c r="A63" s="63" t="s">
        <v>760</v>
      </c>
      <c r="C63" s="792">
        <f>'  B  '!C46</f>
        <v>0</v>
      </c>
    </row>
    <row r="65" spans="1:3" x14ac:dyDescent="0.25">
      <c r="A65" s="3" t="str">
        <f ca="1">'  B  '!A48</f>
        <v>3. Probezeit (Abschnitt 3 des Musterarbeitsvertrages)</v>
      </c>
    </row>
    <row r="66" spans="1:3" x14ac:dyDescent="0.25">
      <c r="A66" s="1" t="str">
        <f ca="1">'  B  '!A49</f>
        <v>Dauer der Probezeit</v>
      </c>
      <c r="C66" s="2">
        <f>'  B  '!C49</f>
        <v>2</v>
      </c>
    </row>
    <row r="68" spans="1:3" x14ac:dyDescent="0.25">
      <c r="A68" s="3" t="str">
        <f ca="1">'  B  '!A51</f>
        <v>4. Arbeitszeit (Abschnitt 4 des Musterarbeitsvertrages)</v>
      </c>
    </row>
    <row r="69" spans="1:3" x14ac:dyDescent="0.25">
      <c r="A69" s="1" t="str">
        <f ca="1">'  B  '!A52</f>
        <v>Wie haben Sie die Arbeitszeit vereinbart?</v>
      </c>
      <c r="C69" s="2" t="str">
        <f ca="1">'  B  '!C52</f>
        <v>Stunden pro Woche</v>
      </c>
    </row>
    <row r="70" spans="1:3" x14ac:dyDescent="0.25">
      <c r="A70" s="1" t="str">
        <f ca="1">'  B  '!A53</f>
        <v>Vereinbarte Arbeitszeit</v>
      </c>
      <c r="C70" s="2">
        <f>'  B  '!C53</f>
        <v>0</v>
      </c>
    </row>
    <row r="71" spans="1:3" x14ac:dyDescent="0.25">
      <c r="C71" s="352"/>
    </row>
    <row r="73" spans="1:3" x14ac:dyDescent="0.25">
      <c r="A73" s="3" t="str">
        <f ca="1">'  B  '!A56</f>
        <v>5. Lohn (Abschnitt 7 des Musterarbeitsvertrages)</v>
      </c>
    </row>
    <row r="74" spans="1:3" x14ac:dyDescent="0.25">
      <c r="A74" s="1" t="str">
        <f ca="1">'  B  '!A59</f>
        <v>Lohnart</v>
      </c>
      <c r="C74" s="2" t="str">
        <f ca="1">'  B  '!C59</f>
        <v>Monatslohn</v>
      </c>
    </row>
    <row r="75" spans="1:3" x14ac:dyDescent="0.25">
      <c r="A75" s="1" t="str">
        <f ca="1">'  B  '!A60</f>
        <v>Bruttolohn</v>
      </c>
      <c r="C75" s="2">
        <f>'  B  '!C60</f>
        <v>0</v>
      </c>
    </row>
    <row r="76" spans="1:3" x14ac:dyDescent="0.25">
      <c r="A76" s="1" t="str">
        <f ca="1">'  B  '!A61</f>
        <v>Pauschal für Assistenz in der Nacht</v>
      </c>
      <c r="C76" s="2">
        <f>'  B  '!C61</f>
        <v>0</v>
      </c>
    </row>
    <row r="77" spans="1:3" x14ac:dyDescent="0.25">
      <c r="A77" s="1" t="str">
        <f ca="1">'  B  '!A62</f>
        <v/>
      </c>
      <c r="C77" s="353">
        <f ca="1">'  B  '!C62</f>
        <v>0</v>
      </c>
    </row>
    <row r="78" spans="1:3" x14ac:dyDescent="0.25">
      <c r="A78" s="1" t="str">
        <f ca="1">'  B  '!A63</f>
        <v/>
      </c>
      <c r="C78" s="2" t="str">
        <f ca="1">'  B  '!C63</f>
        <v>Zuschlag pro geleistete Arbeitsstunde</v>
      </c>
    </row>
    <row r="79" spans="1:3" x14ac:dyDescent="0.25">
      <c r="A79" s="1" t="str">
        <f ca="1">'  B  '!A64</f>
        <v>Zuschlag für Überstunden</v>
      </c>
      <c r="C79" s="352">
        <f>'  B  '!C64</f>
        <v>0</v>
      </c>
    </row>
    <row r="80" spans="1:3" x14ac:dyDescent="0.25">
      <c r="A80" s="1" t="str">
        <f ca="1">'  B  '!A65</f>
        <v>13. Monatslohn</v>
      </c>
      <c r="C80" s="2" t="str">
        <f ca="1">'  B  '!C65</f>
        <v>Nein</v>
      </c>
    </row>
    <row r="81" spans="1:4" x14ac:dyDescent="0.25">
      <c r="A81" s="1" t="str">
        <f ca="1">'  B  '!A66</f>
        <v/>
      </c>
      <c r="C81" s="2" t="str">
        <f ca="1">'  B  '!C66</f>
        <v>Dezember</v>
      </c>
    </row>
    <row r="82" spans="1:4" x14ac:dyDescent="0.25">
      <c r="A82" s="1" t="str">
        <f ca="1">'  B  '!A67</f>
        <v>Zahlungsverbindung Bank</v>
      </c>
      <c r="C82" s="2" t="str">
        <f>'  B  '!C67</f>
        <v/>
      </c>
    </row>
    <row r="83" spans="1:4" x14ac:dyDescent="0.25">
      <c r="A83" s="1" t="str">
        <f ca="1">'  B  '!A68</f>
        <v>Kontonummer IBAN</v>
      </c>
      <c r="C83" s="2" t="str">
        <f>'  B  '!C68</f>
        <v/>
      </c>
    </row>
    <row r="85" spans="1:4" x14ac:dyDescent="0.25">
      <c r="A85" s="1" t="str">
        <f ca="1">'  B  '!A70</f>
        <v>Regelung der Sozialversicherungsbeiträge</v>
      </c>
      <c r="C85" s="1" t="str">
        <f ca="1">'  B  '!C70</f>
        <v>Anteil ArbeitgeberIn</v>
      </c>
      <c r="D85" s="2" t="str">
        <f ca="1">'  B  '!D70</f>
        <v>Anteil ArbeitnehmerIn</v>
      </c>
    </row>
    <row r="86" spans="1:4" x14ac:dyDescent="0.25">
      <c r="A86" s="1" t="str">
        <f ca="1">'  B  '!A71</f>
        <v>AHV / IV / EO</v>
      </c>
      <c r="C86" s="630">
        <f>'  B  '!C71</f>
        <v>5.2999999999999999E-2</v>
      </c>
      <c r="D86" s="631">
        <f>'  B  '!D71</f>
        <v>5.2999999999999999E-2</v>
      </c>
    </row>
    <row r="87" spans="1:4" x14ac:dyDescent="0.25">
      <c r="A87" s="1" t="str">
        <f ca="1">'  B  '!A72</f>
        <v>ALV</v>
      </c>
      <c r="C87" s="340">
        <f>'  B  '!C72</f>
        <v>1.0999999999999999E-2</v>
      </c>
      <c r="D87" s="353">
        <f>'  B  '!D72</f>
        <v>1.0999999999999999E-2</v>
      </c>
    </row>
    <row r="88" spans="1:4" x14ac:dyDescent="0.25">
      <c r="A88" s="1" t="str">
        <f ca="1">'  B  '!A73</f>
        <v>Verwaltungskosten AHV</v>
      </c>
      <c r="C88" s="1"/>
      <c r="D88" s="2"/>
    </row>
    <row r="89" spans="1:4" x14ac:dyDescent="0.25">
      <c r="A89" s="1" t="str">
        <f ca="1">'  B  '!A74</f>
        <v>falls in % des Bruttolohn berechnet, in Spalte C eingeben</v>
      </c>
      <c r="C89" s="339">
        <f>'  B  '!C74</f>
        <v>0</v>
      </c>
      <c r="D89" s="2"/>
    </row>
    <row r="90" spans="1:4" x14ac:dyDescent="0.25">
      <c r="A90" s="1" t="str">
        <f ca="1">'  B  '!A75</f>
        <v>falls in % des AHV-Beitrages berechnet, in Spalte C eingeben</v>
      </c>
      <c r="C90" s="340">
        <f>'  B  '!C75</f>
        <v>0</v>
      </c>
      <c r="D90" s="2"/>
    </row>
    <row r="91" spans="1:4" x14ac:dyDescent="0.25">
      <c r="A91" s="1" t="str">
        <f ca="1">'  B  '!A76</f>
        <v>Berufsunfall (BU)</v>
      </c>
      <c r="C91" s="1"/>
      <c r="D91" s="2"/>
    </row>
    <row r="92" spans="1:4" x14ac:dyDescent="0.25">
      <c r="A92" s="1" t="str">
        <f ca="1">'  B  '!A77</f>
        <v>falls in % berechnet, in Spalte C eingeben</v>
      </c>
      <c r="C92" s="341">
        <f>'  B  '!C77</f>
        <v>0</v>
      </c>
      <c r="D92" s="2"/>
    </row>
    <row r="93" spans="1:4" x14ac:dyDescent="0.25">
      <c r="A93" s="1" t="str">
        <f ca="1">'  B  '!A78</f>
        <v>falls in Fr. berechnet, in Spalte C eingeben</v>
      </c>
      <c r="C93" s="1">
        <f>'  B  '!C78</f>
        <v>0</v>
      </c>
      <c r="D93" s="2"/>
    </row>
    <row r="94" spans="1:4" x14ac:dyDescent="0.25">
      <c r="A94" s="1" t="str">
        <f ca="1">'  B  '!A79</f>
        <v>Nichtberufsunfall</v>
      </c>
      <c r="C94" s="340">
        <f>'  B  '!C79</f>
        <v>0</v>
      </c>
      <c r="D94" s="353">
        <f>'  B  '!D79</f>
        <v>0</v>
      </c>
    </row>
    <row r="95" spans="1:4" x14ac:dyDescent="0.25">
      <c r="A95" s="1" t="str">
        <f ca="1">'  B  '!A80</f>
        <v>Berufliche Vorsorge (BVG)</v>
      </c>
      <c r="C95" s="1">
        <f>'  B  '!C80</f>
        <v>0</v>
      </c>
      <c r="D95" s="2">
        <f>'  B  '!D80</f>
        <v>0</v>
      </c>
    </row>
    <row r="96" spans="1:4" x14ac:dyDescent="0.25">
      <c r="A96" s="1" t="str">
        <f ca="1">'  B  '!A81</f>
        <v>Familienausgleichskasse</v>
      </c>
      <c r="C96" s="340">
        <f>'  B  '!C81</f>
        <v>1.4999999999999999E-2</v>
      </c>
      <c r="D96" s="353">
        <f>'  B  '!D81</f>
        <v>0</v>
      </c>
    </row>
    <row r="97" spans="1:4" x14ac:dyDescent="0.25">
      <c r="A97" s="1" t="str">
        <f ca="1">'  B  '!A82</f>
        <v>Krankentaggeld</v>
      </c>
      <c r="C97" s="340">
        <f>'  B  '!C82</f>
        <v>0</v>
      </c>
      <c r="D97" s="353">
        <f>'  B  '!D82</f>
        <v>0</v>
      </c>
    </row>
    <row r="99" spans="1:4" x14ac:dyDescent="0.25">
      <c r="A99" s="1" t="str">
        <f ca="1">'  B  '!A84</f>
        <v>Kinder- / Ausbildungszulage</v>
      </c>
      <c r="C99" s="2" t="str">
        <f ca="1">'  B  '!C84</f>
        <v>Nein</v>
      </c>
    </row>
    <row r="100" spans="1:4" x14ac:dyDescent="0.25">
      <c r="A100" s="1" t="str">
        <f ca="1">'  B  '!A85</f>
        <v>Abzug für Quellensteuer</v>
      </c>
      <c r="C100" s="352" t="str">
        <f ca="1">'  B  '!C85</f>
        <v>Nein</v>
      </c>
    </row>
    <row r="102" spans="1:4" x14ac:dyDescent="0.25">
      <c r="A102" s="3" t="str">
        <f ca="1">'  B  '!A89</f>
        <v>6. Ferien (Abschnitt 8 des Musterarbeitsvertrages)</v>
      </c>
    </row>
    <row r="103" spans="1:4" x14ac:dyDescent="0.25">
      <c r="A103" s="1" t="str">
        <f ca="1">'  B  '!A90</f>
        <v>Ferienanspruch</v>
      </c>
      <c r="C103" s="2">
        <f>'  B  '!C90</f>
        <v>4</v>
      </c>
    </row>
    <row r="104" spans="1:4" x14ac:dyDescent="0.25">
      <c r="A104" s="96" t="s">
        <v>638</v>
      </c>
      <c r="C104" s="2" t="str">
        <f ca="1">'  B  '!C91</f>
        <v>Nein</v>
      </c>
    </row>
    <row r="105" spans="1:4" x14ac:dyDescent="0.25">
      <c r="A105" s="3" t="str">
        <f ca="1">'  B  '!A92</f>
        <v>7. Beendigung des Arbeitsverhältnisses (Abschnitt 9 des Musterarbeitsvertrages)</v>
      </c>
    </row>
    <row r="107" spans="1:4" x14ac:dyDescent="0.25">
      <c r="A107" s="1" t="str">
        <f ca="1">'  B  '!A94</f>
        <v>Kündigungsfrist im 1. Dienstjahr</v>
      </c>
      <c r="C107" s="2">
        <f>'  B  '!C94</f>
        <v>2</v>
      </c>
    </row>
    <row r="108" spans="1:4" x14ac:dyDescent="0.25">
      <c r="A108" s="1" t="str">
        <f ca="1">'  B  '!A95</f>
        <v>Kündigungsfrist ab 2. Dienstjahr</v>
      </c>
      <c r="C108" s="2">
        <f>'  B  '!C95</f>
        <v>2</v>
      </c>
    </row>
    <row r="109" spans="1:4" x14ac:dyDescent="0.25">
      <c r="A109" s="1" t="str">
        <f ca="1">'  B  '!A96</f>
        <v>Kündigung möglich per</v>
      </c>
      <c r="C109" s="2" t="str">
        <f>'  B  '!C96</f>
        <v/>
      </c>
    </row>
    <row r="110" spans="1:4" x14ac:dyDescent="0.25">
      <c r="A110" s="1" t="str">
        <f ca="1">'  B  '!A97</f>
        <v>gekündigt auf Datum</v>
      </c>
      <c r="C110" s="2" t="str">
        <f>'  B  '!C97</f>
        <v/>
      </c>
    </row>
    <row r="111" spans="1:4" x14ac:dyDescent="0.25">
      <c r="A111" s="1" t="str">
        <f ca="1">'  B  '!A98</f>
        <v>gekündigt durch</v>
      </c>
      <c r="C111" s="2" t="str">
        <f>'  B  '!C98</f>
        <v/>
      </c>
    </row>
    <row r="113" spans="1:3" x14ac:dyDescent="0.25">
      <c r="A113" s="3" t="str">
        <f ca="1">'  B  '!A100</f>
        <v>8. Regelungen zur Lohnfortzahlung (Abschnitt 10 des Musterarbeitsvertrages)</v>
      </c>
    </row>
    <row r="117" spans="1:3" x14ac:dyDescent="0.25">
      <c r="A117" s="1" t="str">
        <f ca="1">'  B  '!A104</f>
        <v>Dauer Wartefrist Unfalltaggeld</v>
      </c>
      <c r="C117" s="2" t="str">
        <f>'  B  '!C104</f>
        <v/>
      </c>
    </row>
    <row r="118" spans="1:3" x14ac:dyDescent="0.25">
      <c r="A118" s="1" t="str">
        <f ca="1">'  B  '!A105</f>
        <v>Höhe vereinbarter Lohn bei Unfall</v>
      </c>
      <c r="C118" s="352" t="str">
        <f>'  B  '!C105</f>
        <v/>
      </c>
    </row>
    <row r="119" spans="1:3" x14ac:dyDescent="0.25">
      <c r="A119" s="1" t="str">
        <f ca="1">'  B  '!A106</f>
        <v>Höhe versichertes Unfalltaggeld</v>
      </c>
      <c r="C119" s="352" t="str">
        <f>'  B  '!C106</f>
        <v/>
      </c>
    </row>
    <row r="120" spans="1:3" x14ac:dyDescent="0.25">
      <c r="A120" s="1" t="str">
        <f ca="1">'  B  '!A107</f>
        <v>Dauer Zahlung Unfalltaggeld</v>
      </c>
      <c r="C120" s="2" t="str">
        <f>'  B  '!C107</f>
        <v/>
      </c>
    </row>
    <row r="122" spans="1:3" x14ac:dyDescent="0.25">
      <c r="A122" s="1" t="str">
        <f ca="1">'  B  '!A109</f>
        <v>Regelung bei Abschluss einer Krankentaggeldversicherung</v>
      </c>
    </row>
    <row r="123" spans="1:3" x14ac:dyDescent="0.25">
      <c r="A123" s="1" t="str">
        <f ca="1">'  B  '!A110</f>
        <v>Besteht eine Krankentaggeldversicherung?</v>
      </c>
      <c r="C123" s="2" t="str">
        <f ca="1">'  B  '!C110</f>
        <v>Nein</v>
      </c>
    </row>
    <row r="124" spans="1:3" x14ac:dyDescent="0.25">
      <c r="A124" s="1" t="str">
        <f ca="1">'  B  '!A111</f>
        <v/>
      </c>
      <c r="C124" s="2" t="str">
        <f>'  B  '!C111</f>
        <v/>
      </c>
    </row>
    <row r="125" spans="1:3" x14ac:dyDescent="0.25">
      <c r="A125" s="1" t="str">
        <f ca="1">'  B  '!A112</f>
        <v/>
      </c>
      <c r="C125" s="2" t="str">
        <f>'  B  '!C112</f>
        <v/>
      </c>
    </row>
    <row r="126" spans="1:3" x14ac:dyDescent="0.25">
      <c r="A126" s="1" t="str">
        <f ca="1">'  B  '!A113</f>
        <v/>
      </c>
      <c r="C126" s="352" t="str">
        <f>'  B  '!C113</f>
        <v/>
      </c>
    </row>
    <row r="127" spans="1:3" x14ac:dyDescent="0.25">
      <c r="A127" s="1" t="str">
        <f ca="1">'  B  '!A114</f>
        <v/>
      </c>
      <c r="C127" s="352" t="str">
        <f>'  B  '!C114</f>
        <v/>
      </c>
    </row>
    <row r="128" spans="1:3" x14ac:dyDescent="0.25">
      <c r="A128" s="1" t="str">
        <f ca="1">'  B  '!A115</f>
        <v/>
      </c>
      <c r="C128" s="2" t="str">
        <f>'  B  '!C115</f>
        <v/>
      </c>
    </row>
    <row r="130" spans="1:3" x14ac:dyDescent="0.25">
      <c r="A130" s="1" t="str">
        <f ca="1">'  B  '!A117</f>
        <v>Vereinbarung für den Fall, dass Assistenz wegen Heim / Spital nicht entgegengenommen werden kann (OR Art. 324)</v>
      </c>
    </row>
    <row r="131" spans="1:3" x14ac:dyDescent="0.25">
      <c r="A131" s="1" t="str">
        <f ca="1">'  B  '!A118</f>
        <v>Maximale Lohnfortzahlung</v>
      </c>
      <c r="C131" s="2">
        <f>'  B  '!C118</f>
        <v>3</v>
      </c>
    </row>
  </sheetData>
  <sheetProtection algorithmName="SHA-512" hashValue="ceZnJxAMQZCWqsWYG9vrkbW11IXeIUzUFU1gefSurf/mSSnN3FwroO4BAvQ6w/DhR8bYcNs0lvMmr1+Bj1OcVA==" saltValue="Z5mLrO4j9CwCtly4O9tMwQ==" spinCount="100000" sheet="1" objects="1" scenarios="1"/>
  <phoneticPr fontId="0" type="noConversion"/>
  <pageMargins left="0.51181102362204722" right="0.19685039370078741" top="0.98425196850393704" bottom="0.78740157480314965" header="0.51181102362204722" footer="0.51181102362204722"/>
  <pageSetup paperSize="9" scale="72" fitToHeight="0" orientation="portrait" r:id="rId1"/>
  <headerFooter alignWithMargins="0">
    <oddFooter>&amp;L&amp;8 LAM © Assistenzbüro ABü 2022 - V2.0&amp;R&amp;8&amp;P/&amp;N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55"/>
  </sheetPr>
  <dimension ref="A1:T79"/>
  <sheetViews>
    <sheetView topLeftCell="G16" workbookViewId="0">
      <selection activeCell="S18" sqref="S18"/>
    </sheetView>
  </sheetViews>
  <sheetFormatPr baseColWidth="10" defaultColWidth="11.33203125" defaultRowHeight="13.2" x14ac:dyDescent="0.25"/>
  <cols>
    <col min="1" max="1" width="11.33203125" style="1"/>
    <col min="2" max="2" width="11.33203125" style="1" customWidth="1"/>
    <col min="3" max="3" width="18.6640625" style="1" customWidth="1"/>
    <col min="4" max="4" width="11.33203125" style="1"/>
    <col min="5" max="6" width="12.6640625" style="1" customWidth="1"/>
    <col min="7" max="16384" width="11.33203125" style="1"/>
  </cols>
  <sheetData>
    <row r="1" spans="1:20" x14ac:dyDescent="0.25">
      <c r="A1" s="3" t="s">
        <v>887</v>
      </c>
      <c r="G1" s="1" t="s">
        <v>903</v>
      </c>
      <c r="H1" s="96" t="s">
        <v>1445</v>
      </c>
    </row>
    <row r="2" spans="1:20" x14ac:dyDescent="0.25">
      <c r="M2" s="3" t="s">
        <v>428</v>
      </c>
    </row>
    <row r="3" spans="1:20" x14ac:dyDescent="0.25">
      <c r="A3" s="3" t="s">
        <v>969</v>
      </c>
      <c r="B3" s="8"/>
      <c r="C3" s="3">
        <f>N_Abrechnungsjahr</f>
        <v>2024</v>
      </c>
      <c r="D3" s="8"/>
      <c r="E3" s="8"/>
      <c r="F3" s="8"/>
      <c r="G3" s="8"/>
      <c r="H3" s="8"/>
      <c r="I3" s="8"/>
      <c r="J3" s="8"/>
      <c r="M3" s="581">
        <v>2012</v>
      </c>
      <c r="N3" s="581">
        <v>2013</v>
      </c>
      <c r="O3" s="812">
        <v>2015</v>
      </c>
      <c r="P3" s="812">
        <v>2019</v>
      </c>
      <c r="Q3" s="812">
        <v>2021</v>
      </c>
      <c r="R3" s="808">
        <v>2022</v>
      </c>
      <c r="S3" s="808">
        <v>2023</v>
      </c>
      <c r="T3" s="808">
        <v>2024</v>
      </c>
    </row>
    <row r="4" spans="1:20" x14ac:dyDescent="0.25">
      <c r="A4" s="8" t="s">
        <v>928</v>
      </c>
      <c r="B4" s="7" t="s">
        <v>768</v>
      </c>
      <c r="C4" s="584">
        <f ca="1">HLOOKUP(IF($C$3&gt;1,$C$3,YEAR(TODAY())),$M$3:$S$14,2,1)</f>
        <v>34.299999999999997</v>
      </c>
      <c r="D4" s="7"/>
      <c r="E4" s="8"/>
      <c r="F4" s="8"/>
      <c r="G4" s="8"/>
      <c r="H4" s="8"/>
      <c r="I4" s="8"/>
      <c r="J4" s="8"/>
      <c r="M4" s="583">
        <v>32.5</v>
      </c>
      <c r="N4" s="583">
        <v>32.799999999999997</v>
      </c>
      <c r="O4" s="776">
        <v>32.9</v>
      </c>
      <c r="P4" s="776">
        <v>33.200000000000003</v>
      </c>
      <c r="Q4" s="776">
        <v>33.5</v>
      </c>
      <c r="R4" s="809">
        <v>33.5</v>
      </c>
      <c r="S4" s="848">
        <v>34.299999999999997</v>
      </c>
      <c r="T4" s="848">
        <v>34.299999999999997</v>
      </c>
    </row>
    <row r="5" spans="1:20" x14ac:dyDescent="0.25">
      <c r="A5" s="8" t="s">
        <v>929</v>
      </c>
      <c r="B5" s="7" t="s">
        <v>768</v>
      </c>
      <c r="C5" s="584">
        <f ca="1">HLOOKUP(IF($C$3&gt;1,$C$3,YEAR(TODAY())),$M$3:$S$14,3,1)</f>
        <v>51.5</v>
      </c>
      <c r="D5" s="8"/>
      <c r="E5" s="8"/>
      <c r="F5" s="8"/>
      <c r="G5" s="8"/>
      <c r="H5" s="8"/>
      <c r="I5" s="8"/>
      <c r="J5" s="8"/>
      <c r="M5" s="583">
        <v>48.75</v>
      </c>
      <c r="N5" s="583">
        <v>49.15</v>
      </c>
      <c r="O5" s="776">
        <v>49.4</v>
      </c>
      <c r="P5" s="776">
        <v>49.8</v>
      </c>
      <c r="Q5" s="776">
        <v>50.2</v>
      </c>
      <c r="R5" s="810">
        <v>50.2</v>
      </c>
      <c r="S5" s="848">
        <v>51.5</v>
      </c>
      <c r="T5" s="848">
        <v>51.5</v>
      </c>
    </row>
    <row r="6" spans="1:20" customFormat="1" x14ac:dyDescent="0.25">
      <c r="A6" s="96" t="s">
        <v>1292</v>
      </c>
      <c r="C6" s="584">
        <f ca="1">HLOOKUP(IF($C$3&gt;1,$C$3,YEAR(TODAY())),$M$3:$S$14,4,1)</f>
        <v>34.299999999999997</v>
      </c>
      <c r="P6" s="776">
        <v>33.200000000000003</v>
      </c>
      <c r="Q6" s="776">
        <v>33.5</v>
      </c>
      <c r="R6" s="583">
        <v>33.5</v>
      </c>
      <c r="S6" s="848">
        <v>34.299999999999997</v>
      </c>
      <c r="T6" s="848">
        <v>34.299999999999997</v>
      </c>
    </row>
    <row r="7" spans="1:20" customFormat="1" x14ac:dyDescent="0.25"/>
    <row r="8" spans="1:20" x14ac:dyDescent="0.25">
      <c r="A8" s="8" t="s">
        <v>968</v>
      </c>
      <c r="B8" s="8"/>
      <c r="C8" s="8"/>
      <c r="D8" s="8"/>
      <c r="E8" s="8"/>
      <c r="F8" s="8"/>
      <c r="G8" s="8"/>
      <c r="H8" s="8"/>
      <c r="I8" s="8"/>
      <c r="J8" s="8"/>
      <c r="K8" s="1" t="s">
        <v>479</v>
      </c>
      <c r="M8" s="582"/>
      <c r="N8" s="582"/>
      <c r="O8" s="582"/>
    </row>
    <row r="9" spans="1:20" x14ac:dyDescent="0.25">
      <c r="A9" s="8"/>
      <c r="B9" s="50" t="s">
        <v>215</v>
      </c>
      <c r="C9" s="50" t="s">
        <v>105</v>
      </c>
      <c r="D9" s="8" t="s">
        <v>1042</v>
      </c>
      <c r="E9" s="50" t="s">
        <v>216</v>
      </c>
      <c r="F9" s="50" t="s">
        <v>631</v>
      </c>
      <c r="G9" s="129" t="s">
        <v>250</v>
      </c>
      <c r="H9" s="129" t="s">
        <v>249</v>
      </c>
      <c r="I9" s="8"/>
      <c r="J9" s="8"/>
      <c r="K9" s="638">
        <f>N_Abrechnungsjahr</f>
        <v>2024</v>
      </c>
      <c r="M9" s="582"/>
      <c r="N9" s="582"/>
      <c r="O9" s="582"/>
    </row>
    <row r="10" spans="1:20" x14ac:dyDescent="0.25">
      <c r="A10" s="8"/>
      <c r="B10" s="50">
        <v>0</v>
      </c>
      <c r="C10" s="130">
        <v>0</v>
      </c>
      <c r="D10" s="8"/>
      <c r="E10" s="130">
        <f ca="1">IF(AND(N_LohnartAuswahl=2,'  B  '!C61&gt;0),MIN(G10,'  B  '!C61/'  B  '!H59),H10)</f>
        <v>1</v>
      </c>
      <c r="F10" s="130">
        <v>0</v>
      </c>
      <c r="G10" s="128">
        <v>2</v>
      </c>
      <c r="H10" s="128">
        <v>1</v>
      </c>
      <c r="I10" s="8"/>
      <c r="J10" s="8"/>
      <c r="K10" s="588">
        <f ca="1">HLOOKUP(IF($K$9&gt;1,$K$9,YEAR(TODAY())),$M$3:$S$14,8,1)</f>
        <v>0</v>
      </c>
      <c r="M10" s="582"/>
      <c r="N10" s="582"/>
      <c r="O10" s="582"/>
    </row>
    <row r="11" spans="1:20" ht="14.4" x14ac:dyDescent="0.3">
      <c r="A11" s="8"/>
      <c r="B11" s="8">
        <v>1</v>
      </c>
      <c r="C11" s="584">
        <f ca="1">HLOOKUP(IF($C$3&gt;1,$C$3,YEAR(TODAY())),$M$3:$S$14,9,1)</f>
        <v>57.2</v>
      </c>
      <c r="D11" s="391">
        <v>100</v>
      </c>
      <c r="E11" s="131">
        <f>D11/60</f>
        <v>1.6666666666666667</v>
      </c>
      <c r="F11" s="131">
        <f ca="1">C11/E11</f>
        <v>34.32</v>
      </c>
      <c r="G11" s="8"/>
      <c r="H11" s="8"/>
      <c r="I11" s="8"/>
      <c r="J11" s="8"/>
      <c r="K11" s="588">
        <f ca="1">HLOOKUP(IF($K$9&gt;1,$K$9,YEAR(TODAY())),$M$3:$S$14,9,1)</f>
        <v>57.2</v>
      </c>
      <c r="M11" s="583">
        <v>10.8</v>
      </c>
      <c r="N11" s="583">
        <v>10.95</v>
      </c>
      <c r="O11" s="583">
        <v>10.95</v>
      </c>
      <c r="P11" s="583">
        <v>11.05</v>
      </c>
      <c r="Q11" s="583">
        <v>11.15</v>
      </c>
      <c r="R11" s="811">
        <v>55.85</v>
      </c>
      <c r="S11" s="848">
        <v>57.2</v>
      </c>
      <c r="T11" s="848">
        <v>57.2</v>
      </c>
    </row>
    <row r="12" spans="1:20" x14ac:dyDescent="0.25">
      <c r="A12" s="8"/>
      <c r="B12" s="8">
        <v>2</v>
      </c>
      <c r="C12" s="584">
        <f ca="1">HLOOKUP(IF($C$3&gt;1,$C$3,YEAR(TODAY())),$M$3:$S$14,10,1)</f>
        <v>78.2</v>
      </c>
      <c r="D12" s="391">
        <v>137</v>
      </c>
      <c r="E12" s="131">
        <f>D12/60</f>
        <v>2.2833333333333332</v>
      </c>
      <c r="F12" s="131">
        <f ca="1">C12/E12</f>
        <v>34.248175182481752</v>
      </c>
      <c r="G12" s="8"/>
      <c r="H12" s="8"/>
      <c r="I12" s="8"/>
      <c r="J12" s="8"/>
      <c r="K12" s="588">
        <f ca="1">HLOOKUP(IF($K$9&gt;1,$K$9,YEAR(TODAY())),$M$3:$S$14,10,1)</f>
        <v>78.2</v>
      </c>
      <c r="M12" s="583">
        <v>32.5</v>
      </c>
      <c r="N12" s="583">
        <v>32.799999999999997</v>
      </c>
      <c r="O12" s="583">
        <v>32.9</v>
      </c>
      <c r="P12" s="583">
        <v>33.200000000000003</v>
      </c>
      <c r="Q12" s="583">
        <v>33.5</v>
      </c>
      <c r="R12" s="810">
        <v>76.400000000000006</v>
      </c>
      <c r="S12" s="848">
        <v>78.2</v>
      </c>
      <c r="T12" s="848">
        <v>78.2</v>
      </c>
    </row>
    <row r="13" spans="1:20" x14ac:dyDescent="0.25">
      <c r="A13" s="8"/>
      <c r="B13" s="8">
        <v>3</v>
      </c>
      <c r="C13" s="584">
        <f ca="1">HLOOKUP(IF($C$3&gt;1,$C$3,YEAR(TODAY())),$M$3:$S$14,11,1)</f>
        <v>119.35</v>
      </c>
      <c r="D13" s="391">
        <v>209</v>
      </c>
      <c r="E13" s="131">
        <f>D13/60</f>
        <v>3.4833333333333334</v>
      </c>
      <c r="F13" s="131">
        <f ca="1">C13/E13</f>
        <v>34.263157894736842</v>
      </c>
      <c r="G13" s="8"/>
      <c r="H13" s="8"/>
      <c r="I13" s="8"/>
      <c r="J13" s="8"/>
      <c r="K13" s="588">
        <f ca="1">HLOOKUP(IF($K$9&gt;1,$K$9,YEAR(TODAY())),$M$3:$S$14,11,1)</f>
        <v>119.35</v>
      </c>
      <c r="M13" s="583">
        <v>54.2</v>
      </c>
      <c r="N13" s="583">
        <v>54.65</v>
      </c>
      <c r="O13" s="583">
        <v>54.85</v>
      </c>
      <c r="P13" s="583">
        <v>55.35</v>
      </c>
      <c r="Q13" s="583">
        <v>55.8</v>
      </c>
      <c r="R13" s="810">
        <v>116.55</v>
      </c>
      <c r="S13" s="848">
        <v>119.35</v>
      </c>
      <c r="T13" s="848">
        <v>119.35</v>
      </c>
    </row>
    <row r="14" spans="1:20" x14ac:dyDescent="0.25">
      <c r="A14" s="8"/>
      <c r="B14" s="8">
        <v>4</v>
      </c>
      <c r="C14" s="584">
        <f ca="1">HLOOKUP(IF($C$3&gt;1,$C$3,YEAR(TODAY())),$M$3:$S$14,12,1)</f>
        <v>164.35</v>
      </c>
      <c r="D14" s="814">
        <v>287.5</v>
      </c>
      <c r="E14" s="131">
        <f>D14/60</f>
        <v>4.791666666666667</v>
      </c>
      <c r="F14" s="131">
        <f ca="1">C14/E14</f>
        <v>34.299130434782604</v>
      </c>
      <c r="G14" s="8"/>
      <c r="H14" s="8"/>
      <c r="I14" s="8"/>
      <c r="J14" s="8"/>
      <c r="K14" s="588">
        <f ca="1">HLOOKUP(IF($K$9&gt;1,$K$9,YEAR(TODAY())),$M$3:$S$14,12,1)</f>
        <v>164.35</v>
      </c>
      <c r="M14" s="583">
        <v>86.7</v>
      </c>
      <c r="N14" s="583">
        <v>87.4</v>
      </c>
      <c r="O14" s="583">
        <v>87.8</v>
      </c>
      <c r="P14" s="583">
        <v>88.55</v>
      </c>
      <c r="Q14" s="583">
        <v>89.3</v>
      </c>
      <c r="R14" s="810">
        <v>160.5</v>
      </c>
      <c r="S14" s="848">
        <v>164.35</v>
      </c>
      <c r="T14" s="848">
        <v>164.35</v>
      </c>
    </row>
    <row r="16" spans="1:20" x14ac:dyDescent="0.25">
      <c r="A16" s="3" t="s">
        <v>604</v>
      </c>
      <c r="D16" s="32">
        <v>42</v>
      </c>
      <c r="E16" s="1" t="s">
        <v>605</v>
      </c>
    </row>
    <row r="18" spans="1:9" x14ac:dyDescent="0.25">
      <c r="A18" s="3" t="s">
        <v>69</v>
      </c>
    </row>
    <row r="19" spans="1:9" x14ac:dyDescent="0.25">
      <c r="A19" s="3" t="s">
        <v>70</v>
      </c>
      <c r="H19" s="3" t="s">
        <v>624</v>
      </c>
    </row>
    <row r="20" spans="1:9" x14ac:dyDescent="0.25">
      <c r="A20" s="9" t="s">
        <v>888</v>
      </c>
      <c r="B20" s="9" t="s">
        <v>243</v>
      </c>
      <c r="H20" s="33" t="s">
        <v>625</v>
      </c>
      <c r="I20" s="33" t="s">
        <v>626</v>
      </c>
    </row>
    <row r="21" spans="1:9" x14ac:dyDescent="0.25">
      <c r="A21" s="32">
        <v>1</v>
      </c>
      <c r="B21" s="32">
        <v>3</v>
      </c>
      <c r="C21" s="1" t="s">
        <v>625</v>
      </c>
      <c r="H21" s="32">
        <v>4</v>
      </c>
      <c r="I21" s="37">
        <v>8.3299999999999999E-2</v>
      </c>
    </row>
    <row r="22" spans="1:9" x14ac:dyDescent="0.25">
      <c r="A22" s="32">
        <v>2</v>
      </c>
      <c r="B22" s="32">
        <v>1</v>
      </c>
      <c r="C22" s="1" t="s">
        <v>620</v>
      </c>
      <c r="H22" s="32">
        <v>5</v>
      </c>
      <c r="I22" s="38">
        <v>0.10640000000000001</v>
      </c>
    </row>
    <row r="23" spans="1:9" x14ac:dyDescent="0.25">
      <c r="A23" s="32">
        <v>3</v>
      </c>
      <c r="B23" s="32">
        <v>2</v>
      </c>
      <c r="H23" s="32">
        <v>6</v>
      </c>
      <c r="I23" s="38">
        <v>0.13040000000000002</v>
      </c>
    </row>
    <row r="24" spans="1:9" x14ac:dyDescent="0.25">
      <c r="A24" s="32">
        <v>4</v>
      </c>
      <c r="B24" s="32">
        <v>2</v>
      </c>
    </row>
    <row r="25" spans="1:9" x14ac:dyDescent="0.25">
      <c r="A25" s="32">
        <v>5</v>
      </c>
      <c r="B25" s="32">
        <v>3</v>
      </c>
      <c r="H25" s="1" t="s">
        <v>237</v>
      </c>
    </row>
    <row r="26" spans="1:9" x14ac:dyDescent="0.25">
      <c r="A26" s="32">
        <v>6</v>
      </c>
      <c r="B26" s="32">
        <v>3</v>
      </c>
      <c r="H26" s="9" t="s">
        <v>238</v>
      </c>
      <c r="I26" s="9" t="s">
        <v>625</v>
      </c>
    </row>
    <row r="27" spans="1:9" x14ac:dyDescent="0.25">
      <c r="A27" s="32">
        <v>7</v>
      </c>
      <c r="B27" s="32">
        <v>3</v>
      </c>
      <c r="H27" s="32">
        <v>20</v>
      </c>
      <c r="I27" s="32">
        <v>5</v>
      </c>
    </row>
    <row r="28" spans="1:9" x14ac:dyDescent="0.25">
      <c r="A28" s="32">
        <v>8</v>
      </c>
      <c r="B28" s="32">
        <v>3</v>
      </c>
      <c r="H28" s="32">
        <v>200</v>
      </c>
      <c r="I28" s="32">
        <v>4</v>
      </c>
    </row>
    <row r="29" spans="1:9" x14ac:dyDescent="0.25">
      <c r="A29" s="32">
        <v>9</v>
      </c>
      <c r="B29" s="32">
        <v>3</v>
      </c>
    </row>
    <row r="30" spans="1:9" x14ac:dyDescent="0.25">
      <c r="A30" s="32">
        <v>10</v>
      </c>
      <c r="B30" s="32">
        <v>4</v>
      </c>
    </row>
    <row r="31" spans="1:9" x14ac:dyDescent="0.25">
      <c r="A31" s="32">
        <v>11</v>
      </c>
      <c r="B31" s="32">
        <v>4</v>
      </c>
      <c r="H31" s="3" t="s">
        <v>247</v>
      </c>
    </row>
    <row r="32" spans="1:9" x14ac:dyDescent="0.25">
      <c r="A32" s="32">
        <v>12</v>
      </c>
      <c r="B32" s="32">
        <v>4</v>
      </c>
      <c r="H32" s="1" t="str">
        <f ca="1">INDEX(L_Anrede,1)</f>
        <v>Herr</v>
      </c>
      <c r="I32" s="32">
        <v>65</v>
      </c>
    </row>
    <row r="33" spans="1:10" x14ac:dyDescent="0.25">
      <c r="A33" s="32">
        <v>13</v>
      </c>
      <c r="B33" s="32">
        <v>4</v>
      </c>
      <c r="H33" s="1" t="str">
        <f ca="1">INDEX(L_Anrede,2)</f>
        <v>Frau</v>
      </c>
      <c r="I33" s="32">
        <v>64</v>
      </c>
    </row>
    <row r="34" spans="1:10" x14ac:dyDescent="0.25">
      <c r="A34" s="32">
        <v>14</v>
      </c>
      <c r="B34" s="32">
        <v>4</v>
      </c>
      <c r="H34" s="1" t="s">
        <v>248</v>
      </c>
      <c r="I34" s="51">
        <v>1400</v>
      </c>
      <c r="J34" s="1" t="s">
        <v>904</v>
      </c>
    </row>
    <row r="35" spans="1:10" x14ac:dyDescent="0.25">
      <c r="A35" s="32">
        <v>15</v>
      </c>
      <c r="B35" s="32">
        <v>5</v>
      </c>
    </row>
    <row r="36" spans="1:10" x14ac:dyDescent="0.25">
      <c r="A36" s="32">
        <v>16</v>
      </c>
      <c r="B36" s="32">
        <v>5</v>
      </c>
    </row>
    <row r="37" spans="1:10" x14ac:dyDescent="0.25">
      <c r="A37" s="32">
        <v>17</v>
      </c>
      <c r="B37" s="32">
        <v>5</v>
      </c>
    </row>
    <row r="38" spans="1:10" x14ac:dyDescent="0.25">
      <c r="A38" s="32">
        <v>18</v>
      </c>
      <c r="B38" s="32">
        <v>5</v>
      </c>
    </row>
    <row r="39" spans="1:10" x14ac:dyDescent="0.25">
      <c r="A39" s="32">
        <v>19</v>
      </c>
      <c r="B39" s="32">
        <v>5</v>
      </c>
    </row>
    <row r="40" spans="1:10" x14ac:dyDescent="0.25">
      <c r="A40" s="32">
        <v>20</v>
      </c>
      <c r="B40" s="32">
        <v>6</v>
      </c>
    </row>
    <row r="41" spans="1:10" x14ac:dyDescent="0.25">
      <c r="A41" s="36" t="s">
        <v>889</v>
      </c>
      <c r="B41" s="32">
        <v>6</v>
      </c>
    </row>
    <row r="43" spans="1:10" x14ac:dyDescent="0.25">
      <c r="A43" s="3" t="s">
        <v>210</v>
      </c>
      <c r="G43" s="3" t="s">
        <v>59</v>
      </c>
    </row>
    <row r="44" spans="1:10" x14ac:dyDescent="0.25">
      <c r="A44" s="1" t="s">
        <v>203</v>
      </c>
      <c r="B44" s="9">
        <f>'  B  '!F104</f>
        <v>2</v>
      </c>
      <c r="C44" s="1" t="s">
        <v>882</v>
      </c>
      <c r="D44" s="1" t="s">
        <v>472</v>
      </c>
      <c r="H44" s="1" t="s">
        <v>66</v>
      </c>
    </row>
    <row r="45" spans="1:10" x14ac:dyDescent="0.25">
      <c r="A45" s="1" t="s">
        <v>204</v>
      </c>
      <c r="B45" s="9">
        <f>'  B  '!F107</f>
        <v>730</v>
      </c>
      <c r="C45" s="1" t="s">
        <v>882</v>
      </c>
      <c r="D45" s="1" t="s">
        <v>472</v>
      </c>
      <c r="G45" s="216" t="s">
        <v>60</v>
      </c>
      <c r="H45" s="217" t="s">
        <v>64</v>
      </c>
      <c r="I45" s="216" t="s">
        <v>65</v>
      </c>
      <c r="J45" s="216" t="s">
        <v>33</v>
      </c>
    </row>
    <row r="46" spans="1:10" x14ac:dyDescent="0.25">
      <c r="G46" s="2" t="s">
        <v>61</v>
      </c>
      <c r="H46" s="218" t="b">
        <f>TRUE</f>
        <v>1</v>
      </c>
      <c r="I46" s="218" t="b">
        <f>TRUE</f>
        <v>1</v>
      </c>
      <c r="J46" s="218" t="b">
        <f>TRUE</f>
        <v>1</v>
      </c>
    </row>
    <row r="47" spans="1:10" x14ac:dyDescent="0.25">
      <c r="A47" s="3" t="s">
        <v>211</v>
      </c>
      <c r="G47" s="2" t="s">
        <v>33</v>
      </c>
      <c r="H47" s="218" t="b">
        <f>TRUE</f>
        <v>1</v>
      </c>
      <c r="I47" s="218" t="b">
        <f>TRUE</f>
        <v>1</v>
      </c>
      <c r="J47" s="218" t="b">
        <f>TRUE</f>
        <v>1</v>
      </c>
    </row>
    <row r="48" spans="1:10" x14ac:dyDescent="0.25">
      <c r="A48" s="1" t="s">
        <v>205</v>
      </c>
      <c r="B48" s="32">
        <v>14</v>
      </c>
      <c r="C48" s="1" t="s">
        <v>625</v>
      </c>
      <c r="G48" s="2" t="s">
        <v>62</v>
      </c>
      <c r="H48" s="218" t="b">
        <f>FALSE</f>
        <v>0</v>
      </c>
      <c r="I48" s="218" t="b">
        <f>TRUE</f>
        <v>1</v>
      </c>
      <c r="J48" s="218" t="b">
        <f>FALSE</f>
        <v>0</v>
      </c>
    </row>
    <row r="49" spans="1:10" x14ac:dyDescent="0.25">
      <c r="G49" s="2" t="s">
        <v>63</v>
      </c>
      <c r="H49" s="218" t="b">
        <f>FALSE</f>
        <v>0</v>
      </c>
      <c r="I49" s="218" t="b">
        <f>TRUE</f>
        <v>1</v>
      </c>
      <c r="J49" s="218" t="b">
        <f>FALSE</f>
        <v>0</v>
      </c>
    </row>
    <row r="50" spans="1:10" x14ac:dyDescent="0.25">
      <c r="A50" s="3" t="s">
        <v>473</v>
      </c>
    </row>
    <row r="51" spans="1:10" x14ac:dyDescent="0.25">
      <c r="A51" s="1" t="s">
        <v>235</v>
      </c>
      <c r="B51" s="32">
        <v>3</v>
      </c>
      <c r="C51" s="1" t="s">
        <v>620</v>
      </c>
    </row>
    <row r="52" spans="1:10" x14ac:dyDescent="0.25">
      <c r="A52" s="1" t="s">
        <v>234</v>
      </c>
      <c r="B52" s="32">
        <v>3</v>
      </c>
      <c r="C52" s="1" t="s">
        <v>620</v>
      </c>
    </row>
    <row r="54" spans="1:10" x14ac:dyDescent="0.25">
      <c r="A54" s="3" t="s">
        <v>212</v>
      </c>
    </row>
    <row r="55" spans="1:10" x14ac:dyDescent="0.25">
      <c r="A55" s="1" t="s">
        <v>100</v>
      </c>
      <c r="C55" s="1" t="s">
        <v>855</v>
      </c>
      <c r="D55" s="1" t="s">
        <v>856</v>
      </c>
    </row>
    <row r="56" spans="1:10" x14ac:dyDescent="0.25">
      <c r="A56" s="1">
        <v>0</v>
      </c>
      <c r="B56" s="1" t="s">
        <v>964</v>
      </c>
      <c r="C56" s="1">
        <v>0</v>
      </c>
      <c r="D56" s="1">
        <v>0</v>
      </c>
      <c r="E56" s="1" t="s">
        <v>471</v>
      </c>
    </row>
    <row r="57" spans="1:10" x14ac:dyDescent="0.25">
      <c r="A57" s="1">
        <v>1</v>
      </c>
      <c r="B57" s="1" t="str">
        <f ca="1">OFFSET(A_ArbeitsunfähigkeitGrund_Auswahl,A57-1,0,1,1)</f>
        <v>vor Anstellungsbeginn</v>
      </c>
      <c r="C57" s="41">
        <v>0</v>
      </c>
      <c r="D57" s="41">
        <v>0</v>
      </c>
    </row>
    <row r="58" spans="1:10" x14ac:dyDescent="0.25">
      <c r="A58" s="1">
        <v>2</v>
      </c>
      <c r="B58" s="1" t="str">
        <f t="shared" ref="B58:B66" ca="1" si="0">OFFSET(A_ArbeitsunfähigkeitGrund_Auswahl,A58-1,0,1,1)</f>
        <v>nach Anstellungsende</v>
      </c>
      <c r="C58" s="41">
        <v>0</v>
      </c>
      <c r="D58" s="41">
        <v>0</v>
      </c>
    </row>
    <row r="59" spans="1:10" x14ac:dyDescent="0.25">
      <c r="A59" s="1">
        <v>3</v>
      </c>
      <c r="B59" s="1" t="str">
        <f t="shared" ca="1" si="0"/>
        <v>Ferien</v>
      </c>
      <c r="C59" s="41">
        <v>1</v>
      </c>
      <c r="D59" s="41">
        <v>1</v>
      </c>
    </row>
    <row r="60" spans="1:10" x14ac:dyDescent="0.25">
      <c r="A60" s="1">
        <v>4</v>
      </c>
      <c r="B60" s="1" t="str">
        <f t="shared" ca="1" si="0"/>
        <v>wegen Arbeitgeber</v>
      </c>
      <c r="C60" s="41">
        <v>1</v>
      </c>
      <c r="D60" s="41">
        <v>1</v>
      </c>
      <c r="E60" s="1" t="s">
        <v>522</v>
      </c>
      <c r="F60" s="1" t="s">
        <v>523</v>
      </c>
    </row>
    <row r="61" spans="1:10" x14ac:dyDescent="0.25">
      <c r="A61" s="1">
        <v>5</v>
      </c>
      <c r="B61" s="1" t="str">
        <f t="shared" ca="1" si="0"/>
        <v>Krankheit, Schwangerschaft mit Lohn</v>
      </c>
      <c r="C61" s="14"/>
      <c r="D61" s="310">
        <f ca="1">OFFSET(E61,0,'  B  '!F110=1,,)</f>
        <v>1</v>
      </c>
      <c r="E61" s="41">
        <v>1</v>
      </c>
      <c r="F61" s="41">
        <v>0.8</v>
      </c>
    </row>
    <row r="62" spans="1:10" x14ac:dyDescent="0.25">
      <c r="A62" s="1">
        <v>6</v>
      </c>
      <c r="B62" s="1" t="str">
        <f t="shared" ca="1" si="0"/>
        <v>Unfall</v>
      </c>
      <c r="C62" s="14"/>
      <c r="D62" s="41">
        <v>0.8</v>
      </c>
    </row>
    <row r="63" spans="1:10" x14ac:dyDescent="0.25">
      <c r="A63" s="1">
        <v>7</v>
      </c>
      <c r="B63" s="1" t="str">
        <f t="shared" ca="1" si="0"/>
        <v>Schwangerschaft (ohne Lohnanspruch)</v>
      </c>
      <c r="C63" s="41">
        <v>1</v>
      </c>
      <c r="D63" s="41">
        <v>1</v>
      </c>
    </row>
    <row r="64" spans="1:10" x14ac:dyDescent="0.25">
      <c r="A64" s="1">
        <v>8</v>
      </c>
      <c r="B64" s="1" t="str">
        <f t="shared" ca="1" si="0"/>
        <v xml:space="preserve"> - </v>
      </c>
      <c r="C64" s="41">
        <v>1</v>
      </c>
      <c r="D64" s="41">
        <v>1</v>
      </c>
    </row>
    <row r="65" spans="1:4" x14ac:dyDescent="0.25">
      <c r="A65" s="1">
        <v>9</v>
      </c>
      <c r="B65" s="1" t="str">
        <f t="shared" ca="1" si="0"/>
        <v>Mutterschaft</v>
      </c>
      <c r="C65" s="41">
        <v>0.8</v>
      </c>
      <c r="D65" s="41">
        <v>0.8</v>
      </c>
    </row>
    <row r="66" spans="1:4" x14ac:dyDescent="0.25">
      <c r="A66" s="1">
        <v>10</v>
      </c>
      <c r="B66" s="1" t="str">
        <f t="shared" ca="1" si="0"/>
        <v>NBU unversichert</v>
      </c>
      <c r="C66" s="41">
        <v>1</v>
      </c>
      <c r="D66" s="41">
        <v>1</v>
      </c>
    </row>
    <row r="68" spans="1:4" x14ac:dyDescent="0.25">
      <c r="A68" s="3" t="s">
        <v>349</v>
      </c>
    </row>
    <row r="69" spans="1:4" x14ac:dyDescent="0.25">
      <c r="A69" s="1" t="s">
        <v>888</v>
      </c>
      <c r="B69" s="1" t="s">
        <v>350</v>
      </c>
      <c r="C69" s="42" t="s">
        <v>239</v>
      </c>
    </row>
    <row r="70" spans="1:4" x14ac:dyDescent="0.25">
      <c r="A70" s="1">
        <v>1</v>
      </c>
      <c r="B70" s="32">
        <v>30</v>
      </c>
      <c r="C70" s="42">
        <v>30</v>
      </c>
    </row>
    <row r="71" spans="1:4" x14ac:dyDescent="0.25">
      <c r="A71" s="1">
        <v>2</v>
      </c>
      <c r="B71" s="32">
        <v>90</v>
      </c>
      <c r="C71" s="42">
        <v>90</v>
      </c>
    </row>
    <row r="72" spans="1:4" x14ac:dyDescent="0.25">
      <c r="A72" s="1">
        <v>6</v>
      </c>
      <c r="B72" s="32">
        <v>180</v>
      </c>
      <c r="C72" s="42">
        <v>180</v>
      </c>
    </row>
    <row r="73" spans="1:4" x14ac:dyDescent="0.25">
      <c r="A73" s="1">
        <v>100</v>
      </c>
      <c r="B73" s="32">
        <v>180</v>
      </c>
    </row>
    <row r="76" spans="1:4" x14ac:dyDescent="0.25">
      <c r="A76" s="1" t="s">
        <v>304</v>
      </c>
    </row>
    <row r="77" spans="1:4" x14ac:dyDescent="0.25">
      <c r="A77" s="596" t="s">
        <v>1224</v>
      </c>
    </row>
    <row r="78" spans="1:4" x14ac:dyDescent="0.25">
      <c r="A78" s="596" t="s">
        <v>1223</v>
      </c>
    </row>
    <row r="79" spans="1:4" x14ac:dyDescent="0.25">
      <c r="A79" s="596"/>
    </row>
  </sheetData>
  <sheetProtection algorithmName="SHA-512" hashValue="hlgbOcr5TxQwfXQFbf8TAXzf66xQy3rM/vVipNdn9iXqn8Qm7M2WouobTcQAWGQhc635DWlWMXkRhzABHzbe5g==" saltValue="rPO+9QT3+vgT0C+IOpE5Jg==" spinCount="100000" sheet="1" objects="1" scenarios="1"/>
  <phoneticPr fontId="0" type="noConversion"/>
  <hyperlinks>
    <hyperlink ref="A78" r:id="rId1" xr:uid="{00000000-0004-0000-1000-000000000000}"/>
    <hyperlink ref="A77" r:id="rId2" xr:uid="{00000000-0004-0000-1000-000001000000}"/>
  </hyperlinks>
  <pageMargins left="0.98425196850393704" right="0.78740157480314965" top="0.98425196850393704" bottom="0.98425196850393704" header="0.51181102362204722" footer="0.51181102362204722"/>
  <pageSetup paperSize="9" orientation="portrait" r:id="rId3"/>
  <headerFooter alignWithMargins="0">
    <oddFooter>&amp;R&amp;8&amp;P/&amp;N</oddFooter>
  </headerFooter>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55"/>
  </sheetPr>
  <dimension ref="A1:AA35"/>
  <sheetViews>
    <sheetView zoomScaleNormal="100" workbookViewId="0">
      <selection activeCell="A212" sqref="A212:J212"/>
    </sheetView>
  </sheetViews>
  <sheetFormatPr baseColWidth="10" defaultColWidth="11.33203125" defaultRowHeight="13.2" x14ac:dyDescent="0.25"/>
  <cols>
    <col min="1" max="1" width="34.109375" style="1" customWidth="1"/>
    <col min="2" max="16384" width="11.33203125" style="1"/>
  </cols>
  <sheetData>
    <row r="1" spans="1:27" x14ac:dyDescent="0.25">
      <c r="A1" s="3" t="s">
        <v>890</v>
      </c>
      <c r="K1" s="1" t="s">
        <v>217</v>
      </c>
    </row>
    <row r="3" spans="1:27" x14ac:dyDescent="0.25">
      <c r="A3" s="1" t="s">
        <v>593</v>
      </c>
      <c r="B3" s="9">
        <f ca="1">N_SpracheAuswahl</f>
        <v>1</v>
      </c>
      <c r="C3" s="96" t="s">
        <v>1284</v>
      </c>
      <c r="O3" s="2" t="s">
        <v>218</v>
      </c>
      <c r="P3" s="2" t="s">
        <v>219</v>
      </c>
      <c r="Q3" s="2" t="s">
        <v>220</v>
      </c>
      <c r="R3" s="2" t="s">
        <v>221</v>
      </c>
      <c r="S3" s="2" t="s">
        <v>222</v>
      </c>
      <c r="T3" s="2" t="s">
        <v>223</v>
      </c>
      <c r="U3" s="2" t="s">
        <v>224</v>
      </c>
      <c r="V3" s="2" t="s">
        <v>225</v>
      </c>
      <c r="W3" s="2" t="s">
        <v>226</v>
      </c>
      <c r="X3" s="2" t="s">
        <v>227</v>
      </c>
      <c r="Y3" s="2" t="s">
        <v>228</v>
      </c>
      <c r="Z3" s="2" t="s">
        <v>879</v>
      </c>
    </row>
    <row r="4" spans="1:27" x14ac:dyDescent="0.25">
      <c r="N4" s="1" t="s">
        <v>229</v>
      </c>
      <c r="O4" s="43">
        <f ca="1">IF(SUM(L$12:N$12)=0,0,SUM(L9:N9)/SUM(L$12:N$12))</f>
        <v>0</v>
      </c>
      <c r="P4" s="43">
        <f t="shared" ref="P4:Z4" ca="1" si="0">IF(SUM(M$12:O$12)=0,0,SUM(M9:O9)/SUM(M$12:O$12))</f>
        <v>0</v>
      </c>
      <c r="Q4" s="43">
        <f t="shared" ca="1" si="0"/>
        <v>0</v>
      </c>
      <c r="R4" s="43">
        <f t="shared" ca="1" si="0"/>
        <v>0</v>
      </c>
      <c r="S4" s="43">
        <f t="shared" ca="1" si="0"/>
        <v>0</v>
      </c>
      <c r="T4" s="43">
        <f t="shared" ca="1" si="0"/>
        <v>0</v>
      </c>
      <c r="U4" s="43">
        <f t="shared" ca="1" si="0"/>
        <v>0</v>
      </c>
      <c r="V4" s="43">
        <f t="shared" ca="1" si="0"/>
        <v>0</v>
      </c>
      <c r="W4" s="43">
        <f t="shared" ca="1" si="0"/>
        <v>0</v>
      </c>
      <c r="X4" s="43">
        <f t="shared" ca="1" si="0"/>
        <v>0</v>
      </c>
      <c r="Y4" s="43">
        <f t="shared" ca="1" si="0"/>
        <v>0</v>
      </c>
      <c r="Z4" s="43">
        <f t="shared" ca="1" si="0"/>
        <v>0</v>
      </c>
    </row>
    <row r="5" spans="1:27" x14ac:dyDescent="0.25">
      <c r="A5" s="3" t="s">
        <v>602</v>
      </c>
      <c r="N5" s="1" t="s">
        <v>230</v>
      </c>
      <c r="O5" s="43">
        <f ca="1">IF(SUM(L$12:N$12)=0,0,SUM(L10:N10)/SUM(L$12:N$12))</f>
        <v>0</v>
      </c>
      <c r="P5" s="43">
        <f t="shared" ref="P5:Z5" ca="1" si="1">IF(SUM(M$12:O$12)=0,0,SUM(M10:O10)/SUM(M$12:O$12))</f>
        <v>0</v>
      </c>
      <c r="Q5" s="43">
        <f t="shared" ca="1" si="1"/>
        <v>0</v>
      </c>
      <c r="R5" s="43">
        <f t="shared" ca="1" si="1"/>
        <v>0</v>
      </c>
      <c r="S5" s="43">
        <f t="shared" ca="1" si="1"/>
        <v>0</v>
      </c>
      <c r="T5" s="43">
        <f t="shared" ca="1" si="1"/>
        <v>0</v>
      </c>
      <c r="U5" s="43">
        <f t="shared" ca="1" si="1"/>
        <v>0</v>
      </c>
      <c r="V5" s="43">
        <f t="shared" ca="1" si="1"/>
        <v>0</v>
      </c>
      <c r="W5" s="43">
        <f t="shared" ca="1" si="1"/>
        <v>0</v>
      </c>
      <c r="X5" s="43">
        <f t="shared" ca="1" si="1"/>
        <v>0</v>
      </c>
      <c r="Y5" s="43">
        <f t="shared" ca="1" si="1"/>
        <v>0</v>
      </c>
      <c r="Z5" s="43">
        <f t="shared" ca="1" si="1"/>
        <v>0</v>
      </c>
    </row>
    <row r="6" spans="1:27" x14ac:dyDescent="0.25">
      <c r="N6" s="1" t="s">
        <v>231</v>
      </c>
      <c r="O6" s="43">
        <f ca="1">IF(SUM(L$12:N$12)=0,0,SUM(L11:N11)/SUM(L$12:N$12))</f>
        <v>0</v>
      </c>
      <c r="P6" s="43">
        <f t="shared" ref="P6:Z6" ca="1" si="2">IF(SUM(M$12:O$12)=0,0,SUM(M11:O11)/SUM(M$12:O$12))</f>
        <v>0</v>
      </c>
      <c r="Q6" s="43">
        <f t="shared" ca="1" si="2"/>
        <v>0</v>
      </c>
      <c r="R6" s="43">
        <f t="shared" ca="1" si="2"/>
        <v>0</v>
      </c>
      <c r="S6" s="43">
        <f t="shared" ca="1" si="2"/>
        <v>0</v>
      </c>
      <c r="T6" s="43">
        <f t="shared" ca="1" si="2"/>
        <v>0</v>
      </c>
      <c r="U6" s="43">
        <f t="shared" ca="1" si="2"/>
        <v>0</v>
      </c>
      <c r="V6" s="43">
        <f t="shared" ca="1" si="2"/>
        <v>0</v>
      </c>
      <c r="W6" s="43">
        <f t="shared" ca="1" si="2"/>
        <v>0</v>
      </c>
      <c r="X6" s="43">
        <f t="shared" ca="1" si="2"/>
        <v>0</v>
      </c>
      <c r="Y6" s="43">
        <f t="shared" ca="1" si="2"/>
        <v>0</v>
      </c>
      <c r="Z6" s="43">
        <f t="shared" ca="1" si="2"/>
        <v>0</v>
      </c>
    </row>
    <row r="7" spans="1:27" x14ac:dyDescent="0.25">
      <c r="A7" s="1" t="s">
        <v>601</v>
      </c>
      <c r="B7" s="34">
        <f ca="1">N_WochenAZ_100Prozent/7*N_Pensum</f>
        <v>0</v>
      </c>
      <c r="C7" s="1" t="s">
        <v>603</v>
      </c>
      <c r="H7" s="1">
        <f ca="1">365*N_ArbeitsstundenSollProKT</f>
        <v>0</v>
      </c>
      <c r="L7" s="1">
        <v>10</v>
      </c>
      <c r="M7" s="1">
        <v>11</v>
      </c>
      <c r="N7" s="1">
        <v>12</v>
      </c>
      <c r="O7" s="1">
        <v>1</v>
      </c>
      <c r="P7" s="1">
        <v>2</v>
      </c>
      <c r="Q7" s="1">
        <v>3</v>
      </c>
      <c r="R7" s="1">
        <v>4</v>
      </c>
      <c r="S7" s="1">
        <v>5</v>
      </c>
      <c r="T7" s="1">
        <v>6</v>
      </c>
      <c r="U7" s="1">
        <v>7</v>
      </c>
      <c r="V7" s="1">
        <v>8</v>
      </c>
      <c r="W7" s="1">
        <v>9</v>
      </c>
      <c r="X7" s="1">
        <v>10</v>
      </c>
      <c r="Y7" s="1">
        <v>11</v>
      </c>
      <c r="Z7" s="1">
        <v>12</v>
      </c>
    </row>
    <row r="8" spans="1:27" x14ac:dyDescent="0.25">
      <c r="B8" s="5"/>
      <c r="L8" s="45">
        <f>DATE('  B  '!$C13-1,L7,1)</f>
        <v>45200</v>
      </c>
      <c r="M8" s="45">
        <f>DATE('  B  '!$C13-1,M7,1)</f>
        <v>45231</v>
      </c>
      <c r="N8" s="45">
        <f>DATE('  B  '!$C13-1,N7,1)</f>
        <v>45261</v>
      </c>
      <c r="O8" s="45">
        <f>DATE('  B  '!$C13,O7,1)</f>
        <v>45292</v>
      </c>
      <c r="P8" s="45">
        <f>DATE('  B  '!$C13,P7,1)</f>
        <v>45323</v>
      </c>
      <c r="Q8" s="45">
        <f>DATE('  B  '!$C13,Q7,1)</f>
        <v>45352</v>
      </c>
      <c r="R8" s="45">
        <f>DATE('  B  '!$C13,R7,1)</f>
        <v>45383</v>
      </c>
      <c r="S8" s="45">
        <f>DATE('  B  '!$C13,S7,1)</f>
        <v>45413</v>
      </c>
      <c r="T8" s="45">
        <f>DATE('  B  '!$C13,T7,1)</f>
        <v>45444</v>
      </c>
      <c r="U8" s="45">
        <f>DATE('  B  '!$C13,U7,1)</f>
        <v>45474</v>
      </c>
      <c r="V8" s="45">
        <f>DATE('  B  '!$C13,V7,1)</f>
        <v>45505</v>
      </c>
      <c r="W8" s="45">
        <f>DATE('  B  '!$C13,W7,1)</f>
        <v>45536</v>
      </c>
      <c r="X8" s="45">
        <f>DATE('  B  '!$C13,X7,1)</f>
        <v>45566</v>
      </c>
      <c r="Y8" s="45">
        <f>DATE('  B  '!$C13,Y7,1)</f>
        <v>45597</v>
      </c>
      <c r="Z8" s="45">
        <f>DATE('  B  '!$C13,Z7,1)</f>
        <v>45627</v>
      </c>
    </row>
    <row r="9" spans="1:27" x14ac:dyDescent="0.25">
      <c r="B9" s="5"/>
      <c r="K9" s="1" t="s">
        <v>229</v>
      </c>
      <c r="L9" s="44">
        <f ca="1">DAY(DATE(YEAR(L8),MONTH(L8)+1,0))*N_ArbeitsstundenSollProKT-L10-L11</f>
        <v>0</v>
      </c>
      <c r="M9" s="44">
        <f ca="1">DAY(DATE(YEAR(M8),MONTH(M8)+1,0))*N_ArbeitsstundenSollProKT-M10-M11</f>
        <v>0</v>
      </c>
      <c r="N9" s="44">
        <f ca="1">DAY(DATE(YEAR(N8),MONTH(N8)+1,0))*N_ArbeitsstundenSollProKT-N10-N11</f>
        <v>0</v>
      </c>
      <c r="O9" s="44">
        <f ca="1">MAX(0,' 01 '!$F300-O10-O11)</f>
        <v>0</v>
      </c>
      <c r="P9" s="46">
        <f ca="1">MAX(0,' 02 '!$F300-P10-P11)</f>
        <v>0</v>
      </c>
      <c r="Q9" s="46">
        <f ca="1">MAX(0,' 03 '!$F300-Q10-Q11)</f>
        <v>0</v>
      </c>
      <c r="R9" s="46">
        <f ca="1">MAX(0,' 04 '!$F300-R10-R11)</f>
        <v>0</v>
      </c>
      <c r="S9" s="46">
        <f ca="1">MAX(0,' 05 '!$F300-S10-S11)</f>
        <v>0</v>
      </c>
      <c r="T9" s="46">
        <f ca="1">MAX(0,' 06 '!$F300-T10-T11)</f>
        <v>0</v>
      </c>
      <c r="U9" s="46">
        <f ca="1">MAX(0,' 07 '!$F300-U10-U11)</f>
        <v>0</v>
      </c>
      <c r="V9" s="46">
        <f ca="1">MAX(0,' 08 '!$F300-V10-V11)</f>
        <v>0</v>
      </c>
      <c r="W9" s="46">
        <f ca="1">MAX(0,' 09 '!$F300-W10-W11)</f>
        <v>0</v>
      </c>
      <c r="X9" s="46">
        <f ca="1">MAX(0,' 10 '!$F300-X10-X11)</f>
        <v>0</v>
      </c>
      <c r="Y9" s="46">
        <f ca="1">MAX(0,' 11 '!$F300-Y10-Y11)</f>
        <v>0</v>
      </c>
      <c r="Z9" s="46">
        <f ca="1">MAX(0,' 12 '!$F300-Z10-Z11)</f>
        <v>0</v>
      </c>
    </row>
    <row r="10" spans="1:27" x14ac:dyDescent="0.25">
      <c r="K10" s="1" t="s">
        <v>361</v>
      </c>
      <c r="L10" s="44">
        <f>'  I  '!C21</f>
        <v>0</v>
      </c>
      <c r="M10" s="44">
        <f>'  I  '!C22</f>
        <v>0</v>
      </c>
      <c r="N10" s="44">
        <f>'  I  '!C23</f>
        <v>0</v>
      </c>
      <c r="O10" s="44">
        <f ca="1">' 01 '!$P29+O5*SUM(' 01 '!$G295:$H295)</f>
        <v>0</v>
      </c>
      <c r="P10" s="46">
        <f ca="1">' 02 '!$P29+P5*SUM(' 02 '!$G295:$H295)</f>
        <v>0</v>
      </c>
      <c r="Q10" s="46">
        <f ca="1">' 03 '!$P29+Q5*SUM(' 03 '!$G295:$H295)</f>
        <v>0</v>
      </c>
      <c r="R10" s="46">
        <f ca="1">' 04 '!$P29+R5*SUM(' 04 '!$G295:$H295)</f>
        <v>0</v>
      </c>
      <c r="S10" s="46">
        <f ca="1">' 05 '!$P29+S5*SUM(' 05 '!$G295:$H295)</f>
        <v>0</v>
      </c>
      <c r="T10" s="46">
        <f ca="1">' 06 '!$P29+T5*SUM(' 06 '!$G295:$H295)</f>
        <v>0</v>
      </c>
      <c r="U10" s="46">
        <f ca="1">' 07 '!$P29+U5*SUM(' 07 '!$G295:$H295)</f>
        <v>0</v>
      </c>
      <c r="V10" s="46">
        <f ca="1">' 08 '!$P29+V5*SUM(' 08 '!$G295:$H295)</f>
        <v>0</v>
      </c>
      <c r="W10" s="46">
        <f ca="1">' 09 '!$P29+W5*SUM(' 09 '!$G295:$H295)</f>
        <v>0</v>
      </c>
      <c r="X10" s="46">
        <f ca="1">' 10 '!$P29+X5*SUM(' 10 '!$G295:$H295)</f>
        <v>0</v>
      </c>
      <c r="Y10" s="46">
        <f ca="1">' 11 '!$P29+Y5*SUM(' 11 '!$G295:$H295)</f>
        <v>0</v>
      </c>
      <c r="Z10" s="46">
        <f ca="1">' 12 '!$P29+Z5*SUM(' 12 '!$G295:$H295)</f>
        <v>0</v>
      </c>
    </row>
    <row r="11" spans="1:27" x14ac:dyDescent="0.25">
      <c r="A11" s="3" t="s">
        <v>198</v>
      </c>
      <c r="K11" s="1" t="s">
        <v>362</v>
      </c>
      <c r="L11" s="44">
        <f ca="1">B20*'  I  '!C24</f>
        <v>0</v>
      </c>
      <c r="M11" s="44">
        <f ca="1">B20*'  I  '!C25</f>
        <v>0</v>
      </c>
      <c r="N11" s="44">
        <f ca="1">B20*'  I  '!C26</f>
        <v>0</v>
      </c>
      <c r="O11" s="44">
        <f ca="1">' 01 '!$P30*$B20+O6*SUM(' 01 '!$G295:$H295)</f>
        <v>0</v>
      </c>
      <c r="P11" s="46">
        <f ca="1">' 02 '!$P30*$B20+P6*SUM(' 02 '!$G295:$H295)</f>
        <v>0</v>
      </c>
      <c r="Q11" s="46">
        <f ca="1">' 03 '!$P30*$B20+Q6*SUM(' 03 '!$G295:$H295)</f>
        <v>0</v>
      </c>
      <c r="R11" s="46">
        <f ca="1">' 04 '!$P30*$B20+R6*SUM(' 04 '!$G295:$H295)</f>
        <v>0</v>
      </c>
      <c r="S11" s="46">
        <f ca="1">' 05 '!$P30*$B20+S6*SUM(' 05 '!$G295:$H295)</f>
        <v>0</v>
      </c>
      <c r="T11" s="46">
        <f ca="1">' 06 '!$P30*$B20+T6*SUM(' 06 '!$G295:$H295)</f>
        <v>0</v>
      </c>
      <c r="U11" s="46">
        <f ca="1">' 07 '!$P30*$B20+U6*SUM(' 07 '!$G295:$H295)</f>
        <v>0</v>
      </c>
      <c r="V11" s="46">
        <f ca="1">' 08 '!$P30*$B20+V6*SUM(' 08 '!$G295:$H295)</f>
        <v>0</v>
      </c>
      <c r="W11" s="46">
        <f ca="1">' 09 '!$P30*$B20+W6*SUM(' 09 '!$G295:$H295)</f>
        <v>0</v>
      </c>
      <c r="X11" s="46">
        <f ca="1">' 10 '!$P30*$B20+X6*SUM(' 10 '!$G295:$H295)</f>
        <v>0</v>
      </c>
      <c r="Y11" s="46">
        <f ca="1">' 11 '!$P30*$B20+Y6*SUM(' 11 '!$G295:$H295)</f>
        <v>0</v>
      </c>
      <c r="Z11" s="46">
        <f ca="1">' 12 '!$P30*$B20+Z6*SUM(' 12 '!$G295:$H295)</f>
        <v>0</v>
      </c>
    </row>
    <row r="12" spans="1:27" x14ac:dyDescent="0.25">
      <c r="A12" s="1" t="s">
        <v>199</v>
      </c>
      <c r="B12" s="34">
        <f ca="1">IF(N_Pensum=0,0,N_Monatslohn*12/(365*N_ArbeitsstundenSollProKT))</f>
        <v>0</v>
      </c>
      <c r="D12" s="34">
        <f ca="1">IF(N_Pensum=0,0,N_Monatslohn_1*12/(365*N_ArbeitsstundenSollProKT))</f>
        <v>0</v>
      </c>
      <c r="F12" s="34">
        <f ca="1">IF(N_Pensum=0,0,N_Monatslohn_2*12/(365*N_ArbeitsstundenSollProKT))</f>
        <v>0</v>
      </c>
      <c r="G12" s="1" t="s">
        <v>629</v>
      </c>
      <c r="K12" s="1" t="s">
        <v>232</v>
      </c>
      <c r="L12" s="34">
        <f ca="1">SUM(L9:L11)</f>
        <v>0</v>
      </c>
      <c r="M12" s="34">
        <f t="shared" ref="M12:Z12" ca="1" si="3">SUM(M9:M11)</f>
        <v>0</v>
      </c>
      <c r="N12" s="34">
        <f t="shared" ca="1" si="3"/>
        <v>0</v>
      </c>
      <c r="O12" s="34">
        <f t="shared" ca="1" si="3"/>
        <v>0</v>
      </c>
      <c r="P12" s="34">
        <f t="shared" ca="1" si="3"/>
        <v>0</v>
      </c>
      <c r="Q12" s="34">
        <f t="shared" ca="1" si="3"/>
        <v>0</v>
      </c>
      <c r="R12" s="34">
        <f t="shared" ca="1" si="3"/>
        <v>0</v>
      </c>
      <c r="S12" s="34">
        <f t="shared" ca="1" si="3"/>
        <v>0</v>
      </c>
      <c r="T12" s="34">
        <f t="shared" ca="1" si="3"/>
        <v>0</v>
      </c>
      <c r="U12" s="34">
        <f t="shared" ca="1" si="3"/>
        <v>0</v>
      </c>
      <c r="V12" s="34">
        <f t="shared" ca="1" si="3"/>
        <v>0</v>
      </c>
      <c r="W12" s="34">
        <f t="shared" ca="1" si="3"/>
        <v>0</v>
      </c>
      <c r="X12" s="34">
        <f t="shared" ca="1" si="3"/>
        <v>0</v>
      </c>
      <c r="Y12" s="34">
        <f t="shared" ca="1" si="3"/>
        <v>0</v>
      </c>
      <c r="Z12" s="34">
        <f t="shared" ca="1" si="3"/>
        <v>0</v>
      </c>
    </row>
    <row r="14" spans="1:27" x14ac:dyDescent="0.25">
      <c r="A14" s="3" t="s">
        <v>891</v>
      </c>
    </row>
    <row r="15" spans="1:27" x14ac:dyDescent="0.25">
      <c r="O15" s="1" t="s">
        <v>774</v>
      </c>
    </row>
    <row r="16" spans="1:27" x14ac:dyDescent="0.25">
      <c r="A16" s="1" t="s">
        <v>1145</v>
      </c>
      <c r="B16" s="9" t="str">
        <f ca="1">IF(OR(N_AnstellungBefristetAuswahl=1,N_AnstellungBefristetAuswahl=2),INDEX(L_AnstellungBefristet,N_AnstellungBefristetAuswahl),0)</f>
        <v>unbefristet</v>
      </c>
      <c r="O16" s="1">
        <v>1</v>
      </c>
      <c r="P16" s="1">
        <v>2</v>
      </c>
      <c r="Q16" s="1">
        <v>3</v>
      </c>
      <c r="R16" s="1">
        <v>4</v>
      </c>
      <c r="S16" s="1">
        <v>5</v>
      </c>
      <c r="T16" s="1">
        <v>6</v>
      </c>
      <c r="U16" s="1">
        <v>7</v>
      </c>
      <c r="V16" s="1">
        <v>8</v>
      </c>
      <c r="W16" s="1">
        <v>9</v>
      </c>
      <c r="X16" s="1">
        <v>10</v>
      </c>
      <c r="Y16" s="1">
        <v>11</v>
      </c>
      <c r="Z16" s="1">
        <v>12</v>
      </c>
      <c r="AA16" s="1">
        <v>13</v>
      </c>
    </row>
    <row r="17" spans="1:27" x14ac:dyDescent="0.25">
      <c r="A17" s="1" t="s">
        <v>892</v>
      </c>
      <c r="B17" s="31">
        <f ca="1">IF(AND(N_AnstellungBefristetAuswahl=1,N_AnstellungBefristet_Ende&gt;DATE(YEAR(N_Anstellung_Beginn),MONTH(N_Anstellung_Beginn)+3,DAY(N_Anstellung_Beginn))),N_Anstellung_Beginn,DATE(YEAR(N_Anstellung_Beginn),MONTH(N_Anstellung_Beginn)+3,DAY(N_Anstellung_Beginn)))</f>
        <v>91</v>
      </c>
      <c r="C17" s="1" t="s">
        <v>504</v>
      </c>
      <c r="O17" s="45">
        <f>DATE('  B  '!$C13,O16,1)</f>
        <v>45292</v>
      </c>
      <c r="P17" s="45">
        <f>DATE('  B  '!$C13,P16,1)</f>
        <v>45323</v>
      </c>
      <c r="Q17" s="45">
        <f>DATE('  B  '!$C13,Q16,1)</f>
        <v>45352</v>
      </c>
      <c r="R17" s="45">
        <f>DATE('  B  '!$C13,R16,1)</f>
        <v>45383</v>
      </c>
      <c r="S17" s="45">
        <f>DATE('  B  '!$C13,S16,1)</f>
        <v>45413</v>
      </c>
      <c r="T17" s="45">
        <f>DATE('  B  '!$C13,T16,1)</f>
        <v>45444</v>
      </c>
      <c r="U17" s="45">
        <f>DATE('  B  '!$C13,U16,1)</f>
        <v>45474</v>
      </c>
      <c r="V17" s="45">
        <f>DATE('  B  '!$C13,V16,1)</f>
        <v>45505</v>
      </c>
      <c r="W17" s="45">
        <f>DATE('  B  '!$C13,W16,1)</f>
        <v>45536</v>
      </c>
      <c r="X17" s="45">
        <f>DATE('  B  '!$C13,X16,1)</f>
        <v>45566</v>
      </c>
      <c r="Y17" s="45">
        <f>DATE('  B  '!$C13,Y16,1)</f>
        <v>45597</v>
      </c>
      <c r="Z17" s="45">
        <f>DATE('  B  '!$C13,Z16,1)</f>
        <v>45627</v>
      </c>
      <c r="AA17" s="45">
        <f>DATE('  B  '!$C13,AA16,1)</f>
        <v>45658</v>
      </c>
    </row>
    <row r="18" spans="1:27" x14ac:dyDescent="0.25">
      <c r="A18" s="1" t="s">
        <v>769</v>
      </c>
      <c r="B18" s="9">
        <f>IF('  B  '!C118="",3,'  B  '!C118)</f>
        <v>3</v>
      </c>
      <c r="C18" s="1" t="s">
        <v>620</v>
      </c>
      <c r="D18" s="1" t="s">
        <v>622</v>
      </c>
      <c r="N18" s="2" t="s">
        <v>775</v>
      </c>
      <c r="O18" s="53">
        <f ca="1">(VLOOKUP('  B  '!$C65,A_JaNein_Auswahl,2,0)=1)*SUM(' 01 '!$I373:' 01 '!$I374,' 01 '!$I376:$I381,' 01 '!$I385:$I394,' 01 '!$I399:$I402)/12</f>
        <v>0</v>
      </c>
      <c r="P18" s="54">
        <f ca="1">(VLOOKUP('  B  '!$C65,A_JaNein_Auswahl,2,0)=1)*SUM(' 02 '!$I373:' 02 '!$I374,' 02 '!$I376:$I381,' 02 '!$I385:$I394,' 02 '!$I399:$I402)/12</f>
        <v>0</v>
      </c>
      <c r="Q18" s="54">
        <f ca="1">(VLOOKUP('  B  '!$C65,A_JaNein_Auswahl,2,0)=1)*SUM(' 03 '!$I373:' 03 '!$I374,' 03 '!$I376:$I381,' 03 '!$I385:$I394,' 03 '!$I399:$I402)/12</f>
        <v>0</v>
      </c>
      <c r="R18" s="54">
        <f ca="1">(VLOOKUP('  B  '!$C65,A_JaNein_Auswahl,2,0)=1)*SUM(' 04 '!$I373:' 04 '!$I374,' 04 '!$I376:$I381,' 04 '!$I385:$I394,' 04 '!$I399:$I402)/12</f>
        <v>0</v>
      </c>
      <c r="S18" s="54">
        <f ca="1">(VLOOKUP('  B  '!$C65,A_JaNein_Auswahl,2,0)=1)*SUM(' 05 '!$I373:' 05 '!$I374,' 05 '!$I376:$I381,' 05 '!$I385:$I394,' 05 '!$I399:$I402)/12</f>
        <v>0</v>
      </c>
      <c r="T18" s="54">
        <f ca="1">(VLOOKUP('  B  '!$C65,A_JaNein_Auswahl,2,0)=1)*SUM(' 06 '!$I373:' 06 '!$I374,' 06 '!$I376:$I381,' 06 '!$I385:$I394,' 06 '!$I399:$I402)/12</f>
        <v>0</v>
      </c>
      <c r="U18" s="54">
        <f ca="1">(VLOOKUP('  B  '!$C65,A_JaNein_Auswahl,2,0)=1)*SUM(' 07 '!$I373:' 07 '!$I374,' 07 '!$I376:$I381,' 07 '!$I385:$I394,' 07 '!$I399:$I402)/12</f>
        <v>0</v>
      </c>
      <c r="V18" s="54">
        <f ca="1">(VLOOKUP('  B  '!$C65,A_JaNein_Auswahl,2,0)=1)*SUM(' 08 '!$I373:' 08 '!$I374,' 08 '!$I376:$I381,' 08 '!$I385:$I394,' 08 '!$I399:$I402)/12</f>
        <v>0</v>
      </c>
      <c r="W18" s="54">
        <f ca="1">(VLOOKUP('  B  '!$C65,A_JaNein_Auswahl,2,0)=1)*SUM(' 09 '!$I373:' 09 '!$I374,' 09 '!$I376:$I381,' 09 '!$I385:$I394,' 09 '!$I399:$I402)/12</f>
        <v>0</v>
      </c>
      <c r="X18" s="54">
        <f ca="1">(VLOOKUP('  B  '!$C65,A_JaNein_Auswahl,2,0)=1)*SUM(' 10 '!$I373:' 10 '!$I374,' 10 '!$I376:$I381,' 10 '!$I385:$I394,' 10 '!$I399:$I402)/12</f>
        <v>0</v>
      </c>
      <c r="Y18" s="54">
        <f ca="1">(VLOOKUP('  B  '!$C65,A_JaNein_Auswahl,2,0)=1)*SUM(' 11 '!$I373:' 11 '!$I374,' 11 '!$I376:$I381,' 11 '!$I385:$I394,' 11 '!$I399:$I402)/12</f>
        <v>0</v>
      </c>
      <c r="Z18" s="54">
        <f ca="1">(VLOOKUP('  B  '!$C65,A_JaNein_Auswahl,2,0)=1)*SUM(' 12 '!$I373:' 12 '!$I374,' 12 '!$I376:$I381,' 12 '!$I385:$I394,' 12 '!$I399:$I402)/12</f>
        <v>0</v>
      </c>
    </row>
    <row r="19" spans="1:27" x14ac:dyDescent="0.25">
      <c r="A19" s="1" t="s">
        <v>233</v>
      </c>
      <c r="B19" s="47">
        <f ca="1">IF(ISNUMBER('  B  '!C28),IF(ISERROR(MATCH('  B  '!C28,L_NachtTarif,0)),0,MATCH('  B  '!C28,L_NachtTarif,0)-1),0)</f>
        <v>0</v>
      </c>
      <c r="C19" s="1" t="s">
        <v>215</v>
      </c>
      <c r="D19" s="8"/>
      <c r="N19" s="2" t="s">
        <v>776</v>
      </c>
      <c r="O19" s="53">
        <f ca="1">IF(OR(AND(N_Anstellung_Ende&gt;=O17,N_Anstellung_Ende&lt;P17),AND(MONTH(O17)=12,N_Anstellung_Ende&gt;P17)),SUM($O18:O18),0)</f>
        <v>0</v>
      </c>
      <c r="P19" s="53">
        <f ca="1">IF(OR(AND(N_Anstellung_Ende&gt;=P17,N_Anstellung_Ende&lt;Q17),AND(MONTH(P17)=12,N_Anstellung_Ende&gt;Q17)),SUM($O18:P18),0)</f>
        <v>0</v>
      </c>
      <c r="Q19" s="53">
        <f ca="1">IF(OR(AND(N_Anstellung_Ende&gt;=Q17,N_Anstellung_Ende&lt;R17),AND(MONTH(Q17)=12,N_Anstellung_Ende&gt;R17)),SUM($O18:Q18),0)</f>
        <v>0</v>
      </c>
      <c r="R19" s="53">
        <f ca="1">IF(OR(AND(N_Anstellung_Ende&gt;=R17,N_Anstellung_Ende&lt;S17),AND(MONTH(R17)=12,N_Anstellung_Ende&gt;S17)),SUM($O18:R18),0)</f>
        <v>0</v>
      </c>
      <c r="S19" s="53">
        <f ca="1">IF(OR(AND(N_Anstellung_Ende&gt;=S17,N_Anstellung_Ende&lt;T17),AND(MONTH(S17)=12,N_Anstellung_Ende&gt;T17)),SUM($O18:S18),0)</f>
        <v>0</v>
      </c>
      <c r="T19" s="53">
        <f ca="1">IF(OR(AND(N_Anstellung_Ende&gt;=T17,N_Anstellung_Ende&lt;U17),AND(MONTH(T17)=12,N_Anstellung_Ende&gt;U17)),SUM($O18:T18),0)</f>
        <v>0</v>
      </c>
      <c r="U19" s="53">
        <f ca="1">IF(OR(AND(N_Anstellung_Ende&gt;=U17,N_Anstellung_Ende&lt;V17),AND(MONTH(U17)=12,N_Anstellung_Ende&gt;V17)),SUM($O18:U18),0)</f>
        <v>0</v>
      </c>
      <c r="V19" s="53">
        <f ca="1">IF(OR(AND(N_Anstellung_Ende&gt;=V17,N_Anstellung_Ende&lt;W17),AND(MONTH(V17)=12,N_Anstellung_Ende&gt;W17)),SUM($O18:V18),0)</f>
        <v>0</v>
      </c>
      <c r="W19" s="53">
        <f ca="1">IF(OR(AND(N_Anstellung_Ende&gt;=W17,N_Anstellung_Ende&lt;X17),AND(MONTH(W17)=12,N_Anstellung_Ende&gt;X17)),SUM($O18:W18),0)</f>
        <v>0</v>
      </c>
      <c r="X19" s="53">
        <f ca="1">IF(OR(AND(N_Anstellung_Ende&gt;=X17,N_Anstellung_Ende&lt;Y17),AND(MONTH(X17)=12,N_Anstellung_Ende&gt;Y17)),SUM($O18:X18),0)</f>
        <v>0</v>
      </c>
      <c r="Y19" s="53">
        <f ca="1">IF(OR(AND(N_Anstellung_Ende&gt;=Y17,N_Anstellung_Ende&lt;Z17),AND(MONTH(Y17)=12,N_Anstellung_Ende&gt;Z17)),SUM($O18:Y18),0)</f>
        <v>0</v>
      </c>
      <c r="Z19" s="53">
        <f ca="1">IF(OR(AND(N_Anstellung_Ende&gt;=Z17,N_Anstellung_Ende&lt;AA17),AND(MONTH(Z17)=12,N_Anstellung_Ende&gt;AA17)),SUM($O18:Z18),0)</f>
        <v>0</v>
      </c>
    </row>
    <row r="20" spans="1:27" x14ac:dyDescent="0.25">
      <c r="A20" s="1" t="s">
        <v>561</v>
      </c>
      <c r="B20" s="9">
        <f ca="1">ROUND(INDEX(Vorgabewerte!E10:E14,N_NachtStufe+1,0),2)</f>
        <v>1</v>
      </c>
      <c r="C20" s="1" t="s">
        <v>605</v>
      </c>
      <c r="N20" s="2" t="s">
        <v>777</v>
      </c>
      <c r="O20" s="53">
        <f ca="1">IF(OR(AND(N_Anstellung_Ende&gt;=O17,N_Anstellung_Ende&lt;P17),AND(MONTH(O17)=6,N_Anstellung_Ende&gt;P17)),SUM($O18:O18),0)</f>
        <v>0</v>
      </c>
      <c r="P20" s="53">
        <f ca="1">IF(OR(AND(N_Anstellung_Ende&gt;=P17,N_Anstellung_Ende&lt;Q17),AND(MONTH(P17)=6,N_Anstellung_Ende&gt;Q17)),SUM($O18:P18),0)</f>
        <v>0</v>
      </c>
      <c r="Q20" s="53">
        <f ca="1">IF(OR(AND(N_Anstellung_Ende&gt;=Q17,N_Anstellung_Ende&lt;R17),AND(MONTH(Q17)=6,N_Anstellung_Ende&gt;R17)),SUM($O18:Q18),0)</f>
        <v>0</v>
      </c>
      <c r="R20" s="53">
        <f ca="1">IF(OR(AND(N_Anstellung_Ende&gt;=R17,N_Anstellung_Ende&lt;S17),AND(MONTH(R17)=6,N_Anstellung_Ende&gt;S17)),SUM($O18:R18),0)</f>
        <v>0</v>
      </c>
      <c r="S20" s="53">
        <f ca="1">IF(OR(AND(N_Anstellung_Ende&gt;=S17,N_Anstellung_Ende&lt;T17),AND(MONTH(S17)=6,N_Anstellung_Ende&gt;T17)),SUM($O18:S18),0)</f>
        <v>0</v>
      </c>
      <c r="T20" s="53">
        <f ca="1">IF(OR(AND(N_Anstellung_Ende&gt;=T17,N_Anstellung_Ende&lt;U17),AND(MONTH(T17)=6,N_Anstellung_Ende&gt;U17)),SUM($O18:T18),0)</f>
        <v>0</v>
      </c>
      <c r="U20" s="53">
        <f ca="1">IF(OR(AND(N_Anstellung_Ende&gt;=U17,N_Anstellung_Ende&lt;V17),AND(MONTH(U17)=12,N_Anstellung_Ende&gt;V17)),SUM($U18:U18),0)</f>
        <v>0</v>
      </c>
      <c r="V20" s="53">
        <f ca="1">IF(OR(AND(N_Anstellung_Ende&gt;=V17,N_Anstellung_Ende&lt;W17),AND(MONTH(V17)=12,N_Anstellung_Ende&gt;W17)),SUM($U18:V18),0)</f>
        <v>0</v>
      </c>
      <c r="W20" s="53">
        <f ca="1">IF(OR(AND(N_Anstellung_Ende&gt;=W17,N_Anstellung_Ende&lt;X17),AND(MONTH(W17)=12,N_Anstellung_Ende&gt;X17)),SUM($U18:W18),0)</f>
        <v>0</v>
      </c>
      <c r="X20" s="53">
        <f ca="1">IF(OR(AND(N_Anstellung_Ende&gt;=X17,N_Anstellung_Ende&lt;Y17),AND(MONTH(X17)=12,N_Anstellung_Ende&gt;Y17)),SUM($U18:X18),0)</f>
        <v>0</v>
      </c>
      <c r="Y20" s="53">
        <f ca="1">IF(OR(AND(N_Anstellung_Ende&gt;=Y17,N_Anstellung_Ende&lt;Z17),AND(MONTH(Y17)=12,N_Anstellung_Ende&gt;Z17)),SUM($U18:Y18),0)</f>
        <v>0</v>
      </c>
      <c r="Z20" s="53">
        <f ca="1">IF(OR(AND(N_Anstellung_Ende&gt;=Z17,N_Anstellung_Ende&lt;AA17),AND(MONTH(Z17)=12,N_Anstellung_Ende&gt;AA17)),SUM($U18:Z18),0)</f>
        <v>0</v>
      </c>
    </row>
    <row r="21" spans="1:27" x14ac:dyDescent="0.25">
      <c r="N21" s="2"/>
      <c r="O21" s="342"/>
      <c r="P21" s="342"/>
      <c r="Q21" s="342"/>
      <c r="R21" s="342"/>
      <c r="S21" s="342"/>
      <c r="T21" s="342"/>
      <c r="U21" s="342"/>
      <c r="V21" s="342"/>
      <c r="W21" s="342"/>
      <c r="X21" s="342"/>
      <c r="Y21" s="342"/>
      <c r="Z21" s="342"/>
    </row>
    <row r="22" spans="1:27" x14ac:dyDescent="0.25">
      <c r="A22" s="3" t="s">
        <v>506</v>
      </c>
    </row>
    <row r="23" spans="1:27" x14ac:dyDescent="0.25">
      <c r="A23" s="1" t="s">
        <v>255</v>
      </c>
      <c r="B23" s="15">
        <f>'  B  '!C90</f>
        <v>4</v>
      </c>
      <c r="C23" s="594">
        <f ca="1">OFFSET(Vorgabewerte!I20,B23-3,0,1,1)</f>
        <v>8.3299999999999999E-2</v>
      </c>
    </row>
    <row r="24" spans="1:27" x14ac:dyDescent="0.25">
      <c r="A24" s="1" t="s">
        <v>507</v>
      </c>
      <c r="B24" s="15">
        <f>'  B  '!C90*7</f>
        <v>28</v>
      </c>
    </row>
    <row r="25" spans="1:27" x14ac:dyDescent="0.25">
      <c r="A25" s="1" t="s">
        <v>379</v>
      </c>
      <c r="B25" s="15">
        <f ca="1">B24/(DATE(N_Abrechnungsjahr,12,31)-DATE(N_Abrechnungsjahr,1,0))*(MIN(DATE(N_Abrechnungsjahr,12,31),MAX(N_Anstellung_Ende,DATE(N_Abrechnungsjahr,1,0)))-MAX(DATE(N_Abrechnungsjahr,1,0),MIN(N_Anstellung_Beginn-1,DATE(N_Abrechnungsjahr,12,31))))</f>
        <v>28</v>
      </c>
      <c r="C25" s="1" t="s">
        <v>881</v>
      </c>
      <c r="I25" s="49"/>
      <c r="R25" s="1" t="s">
        <v>1246</v>
      </c>
    </row>
    <row r="26" spans="1:27" x14ac:dyDescent="0.25">
      <c r="A26" s="1" t="s">
        <v>526</v>
      </c>
    </row>
    <row r="28" spans="1:27" x14ac:dyDescent="0.25">
      <c r="A28" s="3" t="s">
        <v>377</v>
      </c>
    </row>
    <row r="29" spans="1:27" x14ac:dyDescent="0.25">
      <c r="A29" s="1" t="s">
        <v>343</v>
      </c>
      <c r="B29" s="48">
        <f>IF(AND(ISNUMBER(N_Kündigung),N_Kündigung&gt;0),N_Kündigung,DATE(N_Abrechnungsjahr+5,12,31))</f>
        <v>47483</v>
      </c>
      <c r="C29" s="1" t="s">
        <v>563</v>
      </c>
    </row>
    <row r="30" spans="1:27" x14ac:dyDescent="0.25">
      <c r="A30" s="1" t="s">
        <v>244</v>
      </c>
      <c r="B30" s="16">
        <f>IF(B29&lt;DATE(YEAR(B29),MONTH(N_Anstellung_Beginn),DAY(N_Anstellung_Beginn)),(YEAR(B29)-YEAR(N_Anstellung_Beginn)),(YEAR(B29)-YEAR(N_Anstellung_Beginn))+1)</f>
        <v>130</v>
      </c>
    </row>
    <row r="31" spans="1:27" x14ac:dyDescent="0.25">
      <c r="A31" s="1" t="s">
        <v>344</v>
      </c>
      <c r="B31" s="48">
        <f>DATE(YEAR(B29+1),MONTH(B29+1)-IF(B30&lt;2,'  B  '!C94,'  B  '!C95),DAY(B29+1))</f>
        <v>47423</v>
      </c>
    </row>
    <row r="32" spans="1:27" x14ac:dyDescent="0.25">
      <c r="A32" s="1" t="s">
        <v>345</v>
      </c>
      <c r="B32" s="52">
        <f ca="1">' 12 '!AR295</f>
        <v>0</v>
      </c>
      <c r="C32" s="1" t="s">
        <v>882</v>
      </c>
    </row>
    <row r="33" spans="1:4" x14ac:dyDescent="0.25">
      <c r="A33" s="1" t="s">
        <v>346</v>
      </c>
      <c r="B33" s="48">
        <f ca="1">DATE(YEAR(B31),MONTH(B31)+IF(B30&lt;2,'  B  '!C94,'  B  '!C95),DAY(B31)-1)+B32</f>
        <v>47483</v>
      </c>
    </row>
    <row r="34" spans="1:4" x14ac:dyDescent="0.25">
      <c r="C34" s="1" t="s">
        <v>384</v>
      </c>
      <c r="D34" s="1" t="s">
        <v>347</v>
      </c>
    </row>
    <row r="35" spans="1:4" x14ac:dyDescent="0.25">
      <c r="A35" s="1" t="s">
        <v>378</v>
      </c>
      <c r="B35" s="48">
        <f ca="1">IF(N_AnstellungBefristetAuswahl=1,N_AnstellungBefristet_Ende,IF(VLOOKUP('  B  '!F96,A_Kündigungsmöglichkeit_Auswahl,2,0)=1,D35,IF(VLOOKUP('  B  '!F96,A_Kündigungsmöglichkeit_Auswahl,2,0)=2,C35,73050)))</f>
        <v>47483</v>
      </c>
      <c r="C35" s="48">
        <f ca="1">DATE(YEAR(B33),MONTH(B33)+1,0)</f>
        <v>47483</v>
      </c>
      <c r="D35" s="48">
        <f ca="1">B33+7-WEEKDAY(B33,2)</f>
        <v>47489</v>
      </c>
    </row>
  </sheetData>
  <sheetProtection algorithmName="SHA-512" hashValue="d00BYW/zezj9BGkJa0ZBcpfZrxJlbz0xNk3FKlH2i/ivOOLYlFIuWPfwQBQZYQWnqoMgrOckL7N5V2r4MDB//w==" saltValue="Pg35XS4uRDgzw9QcrDwzWQ==" spinCount="100000" sheet="1" objects="1" scenarios="1"/>
  <phoneticPr fontId="0" type="noConversion"/>
  <pageMargins left="0.98425196850393704" right="0.78740157480314965" top="0.98425196850393704" bottom="0.98425196850393704" header="0.51181102362204722" footer="0.51181102362204722"/>
  <pageSetup paperSize="9" orientation="landscape" r:id="rId1"/>
  <headerFooter alignWithMargins="0">
    <oddFooter>&amp;R&amp;8&amp;P/&amp;N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outlinePr showOutlineSymbols="0"/>
  </sheetPr>
  <dimension ref="A1:AM122"/>
  <sheetViews>
    <sheetView showGridLines="0" showOutlineSymbols="0" zoomScaleNormal="100" workbookViewId="0">
      <selection activeCell="C13" sqref="C13"/>
    </sheetView>
  </sheetViews>
  <sheetFormatPr baseColWidth="10" defaultColWidth="11.33203125" defaultRowHeight="13.2" outlineLevelCol="1" x14ac:dyDescent="0.25"/>
  <cols>
    <col min="1" max="1" width="30.6640625" style="55" customWidth="1"/>
    <col min="2" max="2" width="30.6640625" style="62" customWidth="1"/>
    <col min="3" max="3" width="30.6640625" style="55" customWidth="1"/>
    <col min="4" max="4" width="30.6640625" style="62" customWidth="1"/>
    <col min="5" max="5" width="11.33203125" style="55" customWidth="1"/>
    <col min="6" max="6" width="11.33203125" style="55" hidden="1" customWidth="1" outlineLevel="1"/>
    <col min="7" max="7" width="66.6640625" style="55" hidden="1" customWidth="1" outlineLevel="1"/>
    <col min="8" max="9" width="11.33203125" style="55" hidden="1" customWidth="1" outlineLevel="1"/>
    <col min="10" max="11" width="11.33203125" style="55" hidden="1" customWidth="1" outlineLevel="1" collapsed="1"/>
    <col min="12" max="17" width="11.33203125" style="55" hidden="1" customWidth="1" outlineLevel="1"/>
    <col min="18" max="18" width="11.33203125" style="55" collapsed="1"/>
    <col min="19" max="24" width="11.33203125" style="55"/>
    <col min="25" max="25" width="16.33203125" style="55" customWidth="1"/>
    <col min="26" max="30" width="11.33203125" style="55"/>
    <col min="31" max="31" width="15.109375" style="55" customWidth="1"/>
    <col min="32" max="16384" width="11.33203125" style="55"/>
  </cols>
  <sheetData>
    <row r="1" spans="1:33" ht="18" customHeight="1" x14ac:dyDescent="0.25">
      <c r="A1" s="417" t="str">
        <f ca="1">INDIRECT(ADDRESS(ROW()+N_Offset_B,COLUMN()+(N_SpracheAuswahl)*26,,,"Text"))</f>
        <v>Basisdaten fürs Lohnabrechnungsmodell LAM</v>
      </c>
      <c r="D1" s="416" t="str">
        <f ca="1">INDIRECT(ADDRESS(ROW()+N_Offset_B,COLUMN()+(N_SpracheAuswahl)*26,,,"Text"))</f>
        <v>zurück zum Intro</v>
      </c>
      <c r="G1" s="56" t="str">
        <f>N_Version</f>
        <v>2023 - V2.10</v>
      </c>
    </row>
    <row r="2" spans="1:33" x14ac:dyDescent="0.25">
      <c r="D2" s="94"/>
      <c r="AD2" s="63"/>
    </row>
    <row r="3" spans="1:33" x14ac:dyDescent="0.25">
      <c r="A3" s="55" t="str">
        <f>C34&amp;" "&amp;C35&amp;", "&amp;C40</f>
        <v xml:space="preserve"> , </v>
      </c>
    </row>
    <row r="4" spans="1:33" x14ac:dyDescent="0.25">
      <c r="C4" s="87"/>
      <c r="AG4" s="63"/>
    </row>
    <row r="5" spans="1:33" hidden="1" x14ac:dyDescent="0.25"/>
    <row r="6" spans="1:33" hidden="1" x14ac:dyDescent="0.25"/>
    <row r="7" spans="1:33" hidden="1" x14ac:dyDescent="0.25"/>
    <row r="8" spans="1:33" hidden="1" x14ac:dyDescent="0.25"/>
    <row r="9" spans="1:33" hidden="1" x14ac:dyDescent="0.25"/>
    <row r="10" spans="1:33" hidden="1" x14ac:dyDescent="0.25"/>
    <row r="11" spans="1:33" s="86" customFormat="1" ht="6.6" x14ac:dyDescent="0.25">
      <c r="A11" s="511" t="str">
        <f ca="1">INDIRECT(ADDRESS(ROW()+N_Offset_B,COLUMN()+(N_SpracheAuswahl)*26,,,"Text"))</f>
        <v>Dies ist Zelle A11 des Tabellenblattes Basisdaten. Beginnen Sie hier, wenn Sie mit einem Vorleseprogramm arbeiten (Zeilen 1-10 enthalten die Benutzerführung für die Arbeit ohne Vorleseprogramm)</v>
      </c>
      <c r="B11" s="85"/>
      <c r="D11" s="85"/>
    </row>
    <row r="12" spans="1:33" s="86" customFormat="1" ht="17.100000000000001" customHeight="1" x14ac:dyDescent="0.25">
      <c r="A12" s="64" t="str">
        <f ca="1">INDIRECT(ADDRESS(ROW()+N_Offset_B,COLUMN()+(N_SpracheAuswahl)*26,,,"Text"))</f>
        <v>Falls bereits ein LAM für die Assistenzperson geführt wurde, zuerst Eingaben im Blatt "Import" machen</v>
      </c>
      <c r="B12" s="85"/>
      <c r="D12" s="85"/>
    </row>
    <row r="13" spans="1:33" ht="27" customHeight="1" x14ac:dyDescent="0.25">
      <c r="A13" s="859" t="str">
        <f ca="1">INDIRECT(ADDRESS(ROW()+N_Offset_B,COLUMN()+(N_SpracheAuswahl)*26,,,"Text"))</f>
        <v>Geben Sie in Spalte C das Jahr der Lohnabrechnung ein:</v>
      </c>
      <c r="B13" s="859"/>
      <c r="C13" s="97">
        <v>2024</v>
      </c>
    </row>
    <row r="14" spans="1:33" s="87" customFormat="1" ht="15" customHeight="1" x14ac:dyDescent="0.25">
      <c r="A14" s="421" t="str">
        <f ca="1">G14&amp;" "&amp;ROW(Linkziel_Kündigung)</f>
        <v>Falls in diesem Jahr das Arbeitsverhältnis beendet wird, Eingabe in Zeile 92</v>
      </c>
      <c r="G14" s="56" t="str">
        <f ca="1">INDIRECT(ADDRESS(ROW()+N_Offset_B,COLUMN()+(N_SpracheAuswahl)*26,,,"Text"))</f>
        <v>Falls in diesem Jahr das Arbeitsverhältnis beendet wird, Eingabe in Zeile</v>
      </c>
    </row>
    <row r="15" spans="1:33" s="63" customFormat="1" x14ac:dyDescent="0.25">
      <c r="A15" s="90"/>
      <c r="B15" s="88"/>
      <c r="C15" s="89"/>
      <c r="D15" s="88"/>
      <c r="E15" s="89"/>
      <c r="F15" s="89"/>
      <c r="G15" s="89"/>
      <c r="H15" s="89"/>
      <c r="I15" s="89"/>
      <c r="J15" s="89"/>
      <c r="K15" s="89"/>
      <c r="L15" s="89"/>
    </row>
    <row r="16" spans="1:33" s="402" customFormat="1" ht="15" customHeight="1" x14ac:dyDescent="0.25">
      <c r="A16" s="405" t="str">
        <f ca="1">INDIRECT(ADDRESS(ROW()+N_Offset_B,COLUMN()+(N_SpracheAuswahl)*26,,,"Text"))</f>
        <v>Text</v>
      </c>
      <c r="B16" s="518" t="str">
        <f ca="1">INDIRECT(ADDRESS(ROW()+N_Offset_B,COLUMN()+(N_SpracheAuswahl)*26,,,"Text"))</f>
        <v>Erläuterungen</v>
      </c>
      <c r="C16" s="405" t="str">
        <f ca="1">INDIRECT(ADDRESS(ROW()+N_Offset_B,COLUMN()+(N_SpracheAuswahl)*26,,,"Text"))</f>
        <v>Eingabe</v>
      </c>
      <c r="D16" s="518" t="str">
        <f ca="1">INDIRECT(ADDRESS(ROW()+N_Offset_B,COLUMN()+(N_SpracheAuswahl)*26,,,"Text"))</f>
        <v>Kommentar</v>
      </c>
    </row>
    <row r="17" spans="1:7" ht="5.0999999999999996" customHeight="1" x14ac:dyDescent="0.25">
      <c r="A17" s="64"/>
      <c r="B17" s="65"/>
      <c r="C17" s="64"/>
      <c r="D17" s="65"/>
    </row>
    <row r="18" spans="1:7" ht="15.6" x14ac:dyDescent="0.25">
      <c r="A18" s="418" t="str">
        <f t="shared" ref="A18:A24" ca="1" si="0">INDIRECT(ADDRESS(ROW()+N_Offset_B,COLUMN()+(N_SpracheAuswahl)*26,,,"Text"))</f>
        <v>Angaben zum Arbeitgeber / zur Arbeitgeberin</v>
      </c>
      <c r="B18" s="386"/>
      <c r="C18" s="387"/>
      <c r="D18" s="386"/>
    </row>
    <row r="19" spans="1:7" x14ac:dyDescent="0.25">
      <c r="A19" s="778" t="str">
        <f t="shared" ca="1" si="0"/>
        <v>Vorname</v>
      </c>
      <c r="B19" s="72"/>
      <c r="C19" s="68" t="str">
        <f>IF('  I  '!C36=0,"",'  I  '!C36)</f>
        <v/>
      </c>
    </row>
    <row r="20" spans="1:7" x14ac:dyDescent="0.25">
      <c r="A20" s="778" t="str">
        <f t="shared" ca="1" si="0"/>
        <v>Name</v>
      </c>
      <c r="B20" s="72"/>
      <c r="C20" s="68" t="str">
        <f>IF('  I  '!C37=0,"",'  I  '!C37)</f>
        <v/>
      </c>
    </row>
    <row r="21" spans="1:7" x14ac:dyDescent="0.25">
      <c r="A21" s="778" t="str">
        <f ca="1">INDIRECT(ADDRESS(ROW()+N_Offset_B,COLUMN()+(N_SpracheAuswahl)*26,,,"Text"))</f>
        <v>Adresse</v>
      </c>
      <c r="B21" s="72"/>
      <c r="C21" s="68" t="str">
        <f>IF('  I  '!C38=0,"",'  I  '!C38)</f>
        <v/>
      </c>
    </row>
    <row r="22" spans="1:7" x14ac:dyDescent="0.25">
      <c r="A22" s="778" t="str">
        <f t="shared" ca="1" si="0"/>
        <v>Adresszusatz</v>
      </c>
      <c r="B22" s="72"/>
      <c r="C22" s="68" t="str">
        <f>IF('  I  '!C39=0,"",'  I  '!C39)</f>
        <v/>
      </c>
    </row>
    <row r="23" spans="1:7" x14ac:dyDescent="0.25">
      <c r="A23" s="778" t="str">
        <f t="shared" ca="1" si="0"/>
        <v>PLZ</v>
      </c>
      <c r="B23" s="72"/>
      <c r="C23" s="68" t="str">
        <f>IF('  I  '!C40=0,"",'  I  '!C40)</f>
        <v/>
      </c>
    </row>
    <row r="24" spans="1:7" x14ac:dyDescent="0.25">
      <c r="A24" s="778" t="str">
        <f t="shared" ca="1" si="0"/>
        <v>Ort</v>
      </c>
      <c r="B24" s="72"/>
      <c r="C24" s="68" t="str">
        <f>IF('  I  '!C41=0,"",'  I  '!C41)</f>
        <v/>
      </c>
    </row>
    <row r="25" spans="1:7" x14ac:dyDescent="0.25">
      <c r="A25" s="57"/>
      <c r="B25" s="72"/>
    </row>
    <row r="26" spans="1:7" x14ac:dyDescent="0.25">
      <c r="A26" s="57" t="str">
        <f ca="1">INDIRECT(ADDRESS(ROW()+N_Offset_B,COLUMN()+(N_SpracheAuswahl)*26,,,"Text"))</f>
        <v>Nehmen Sie am Assistenzbeitrag der IV teil?</v>
      </c>
      <c r="B26" s="72"/>
      <c r="C26" s="99"/>
    </row>
    <row r="27" spans="1:7" x14ac:dyDescent="0.25">
      <c r="A27" s="548" t="str">
        <f ca="1">INDIRECT(ADDRESS(ROW()+N_Offset_B,COLUMN()+(N_SpracheAuswahl)*26,,,"Text"))</f>
        <v>Verfügung ausgestellt im Jahr</v>
      </c>
      <c r="B27" s="72"/>
      <c r="C27" s="68" t="str">
        <f>IF('  I  '!C44=0,"",'  I  '!C44)</f>
        <v/>
      </c>
      <c r="F27" s="56" t="s">
        <v>480</v>
      </c>
    </row>
    <row r="28" spans="1:7" ht="45" customHeight="1" x14ac:dyDescent="0.25">
      <c r="A28" s="57" t="str">
        <f ca="1">INDIRECT(ADDRESS(ROW()+N_Offset_B,COLUMN()+(N_SpracheAuswahl)*26,,,"Text"))</f>
        <v>Ansatz für die Nacht</v>
      </c>
      <c r="B28" s="73" t="str">
        <f ca="1">INDIRECT(ADDRESS(ROW()+N_Offset_B,COLUMN()+(N_SpracheAuswahl)*26,,,"Text"))</f>
        <v>wählen Sie in Spalte C den aktuell gültigen Ansatz aus</v>
      </c>
      <c r="C28" s="99">
        <f>IF('  I  '!C45=0,0,'  I  '!C45)</f>
        <v>0</v>
      </c>
      <c r="D28" s="592" t="str">
        <f ca="1">G28&amp;INDIRECT(ADDRESS(ROW()+N_Offset_B,COLUMN()+(N_SpracheAuswahl)*26,,,"Text"))</f>
        <v>Hinweis: falls die Ansätze wegen Teuerungsanpassung nicht mehr gültig sind, neue Version LAM beschaffen</v>
      </c>
      <c r="F28" s="56" t="b">
        <f ca="1">NOT(ISERROR(MATCH(C28,L_NachtTarif,0)))</f>
        <v>1</v>
      </c>
      <c r="G28" s="289" t="str">
        <f ca="1">IF(NOT(F28),B_AnsatzUngültig&amp;" "&amp;TEXT(C27,0)&amp;" - ","")</f>
        <v/>
      </c>
    </row>
    <row r="29" spans="1:7" ht="39.9" customHeight="1" x14ac:dyDescent="0.25">
      <c r="A29" s="72" t="str">
        <f ca="1">INDIRECT(ADDRESS(ROW()+N_Offset_B,COLUMN()+(N_SpracheAuswahl)*26,,,"Text"))</f>
        <v>Nehmen Sie an einem kantonalen Assistenzbudget teil?</v>
      </c>
      <c r="B29" s="512" t="str">
        <f ca="1">B_AuswahlSpalteC</f>
        <v>(Auswahl in Spalte C)</v>
      </c>
      <c r="C29" s="99" t="s">
        <v>876</v>
      </c>
      <c r="D29" s="65"/>
      <c r="F29" s="56">
        <f ca="1">VLOOKUP(C29,A_JaNein_Auswahl,2,0)</f>
        <v>1</v>
      </c>
    </row>
    <row r="31" spans="1:7" ht="15.6" x14ac:dyDescent="0.25">
      <c r="A31" s="418" t="str">
        <f t="shared" ref="A31:A41" ca="1" si="1">INDIRECT(ADDRESS(ROW()+N_Offset_B,COLUMN()+(N_SpracheAuswahl)*26,,,"Text"))</f>
        <v>Angaben aus dem Arbeitsvertrag</v>
      </c>
      <c r="B31" s="386"/>
      <c r="C31" s="387"/>
      <c r="D31" s="386"/>
    </row>
    <row r="32" spans="1:7" x14ac:dyDescent="0.25">
      <c r="A32" s="75" t="str">
        <f t="shared" ca="1" si="1"/>
        <v>1. Personalien der Assistenzperson</v>
      </c>
      <c r="B32" s="76"/>
      <c r="C32" s="77"/>
      <c r="D32" s="76"/>
    </row>
    <row r="33" spans="1:39" x14ac:dyDescent="0.25">
      <c r="A33" s="778" t="str">
        <f t="shared" ca="1" si="1"/>
        <v>Anrede</v>
      </c>
      <c r="B33" s="512" t="str">
        <f ca="1">B_AuswahlSpalteC</f>
        <v>(Auswahl in Spalte C)</v>
      </c>
      <c r="C33" s="83" t="str">
        <f>IF('  I  '!C50=0,"",'  I  '!C50)</f>
        <v/>
      </c>
    </row>
    <row r="34" spans="1:39" x14ac:dyDescent="0.25">
      <c r="A34" s="778" t="str">
        <f t="shared" ca="1" si="1"/>
        <v>Vorname</v>
      </c>
      <c r="B34" s="72"/>
      <c r="C34" s="82" t="str">
        <f>IF('  I  '!C51=0,"",'  I  '!C51)</f>
        <v/>
      </c>
    </row>
    <row r="35" spans="1:39" x14ac:dyDescent="0.25">
      <c r="A35" s="778" t="str">
        <f t="shared" ca="1" si="1"/>
        <v>Name</v>
      </c>
      <c r="B35" s="72"/>
      <c r="C35" s="82" t="str">
        <f>IF('  I  '!C52=0,"",'  I  '!C52)</f>
        <v/>
      </c>
    </row>
    <row r="36" spans="1:39" x14ac:dyDescent="0.25">
      <c r="A36" s="778" t="str">
        <f t="shared" ca="1" si="1"/>
        <v>Adresse</v>
      </c>
      <c r="B36" s="72"/>
      <c r="C36" s="82" t="str">
        <f>IF('  I  '!C53=0,"",'  I  '!C53)</f>
        <v/>
      </c>
    </row>
    <row r="37" spans="1:39" x14ac:dyDescent="0.25">
      <c r="A37" s="778" t="str">
        <f t="shared" ca="1" si="1"/>
        <v>Adresszusatz</v>
      </c>
      <c r="B37" s="72"/>
      <c r="C37" s="82" t="str">
        <f>IF('  I  '!C54=0,"",'  I  '!C54)</f>
        <v/>
      </c>
    </row>
    <row r="38" spans="1:39" x14ac:dyDescent="0.25">
      <c r="A38" s="778" t="str">
        <f t="shared" ca="1" si="1"/>
        <v>PLZ</v>
      </c>
      <c r="B38" s="72"/>
      <c r="C38" s="82" t="str">
        <f>IF('  I  '!C55=0,"",'  I  '!C55)</f>
        <v/>
      </c>
    </row>
    <row r="39" spans="1:39" x14ac:dyDescent="0.25">
      <c r="A39" s="778" t="str">
        <f t="shared" ca="1" si="1"/>
        <v>Ort</v>
      </c>
      <c r="B39" s="72"/>
      <c r="C39" s="82" t="str">
        <f>IF('  I  '!C56=0,"",'  I  '!C56)</f>
        <v/>
      </c>
    </row>
    <row r="40" spans="1:39" x14ac:dyDescent="0.25">
      <c r="A40" s="778" t="str">
        <f t="shared" ca="1" si="1"/>
        <v>Versichertennummer (AHV-Nr.)</v>
      </c>
      <c r="B40" s="72"/>
      <c r="C40" s="82" t="str">
        <f>IF('  I  '!C57=0,"",'  I  '!C57)</f>
        <v/>
      </c>
    </row>
    <row r="41" spans="1:39" x14ac:dyDescent="0.25">
      <c r="A41" s="778" t="str">
        <f t="shared" ca="1" si="1"/>
        <v>Geburtsdatum</v>
      </c>
      <c r="B41" s="72"/>
      <c r="C41" s="785">
        <f>IF('  I  '!C58=0,0,'  I  '!C58)</f>
        <v>0</v>
      </c>
      <c r="G41" s="56"/>
      <c r="H41" s="56"/>
      <c r="I41" s="56"/>
    </row>
    <row r="42" spans="1:39" x14ac:dyDescent="0.25">
      <c r="G42" s="56"/>
      <c r="H42" s="56"/>
      <c r="I42" s="56"/>
      <c r="V42" s="67"/>
      <c r="AH42" s="67"/>
      <c r="AI42" s="67"/>
      <c r="AJ42" s="67"/>
      <c r="AK42" s="67"/>
      <c r="AL42" s="67"/>
      <c r="AM42" s="67"/>
    </row>
    <row r="43" spans="1:39" x14ac:dyDescent="0.25">
      <c r="A43" s="75" t="str">
        <f ca="1">INDIRECT(ADDRESS(ROW()+N_Offset_B,COLUMN()+(N_SpracheAuswahl)*26,,,"Text"))</f>
        <v>2. Stellenantritt und Dauer des Arbeitsverhältnisses (Abschnitt 2 des Musterarbeitsvertrages)</v>
      </c>
      <c r="B43" s="76"/>
      <c r="C43" s="77"/>
      <c r="D43" s="76"/>
      <c r="G43" s="56"/>
      <c r="H43" s="56"/>
      <c r="I43" s="56"/>
      <c r="V43" s="67"/>
      <c r="AH43" s="67"/>
      <c r="AI43" s="67"/>
      <c r="AJ43" s="67"/>
      <c r="AK43" s="67"/>
      <c r="AL43" s="67"/>
      <c r="AM43" s="67"/>
    </row>
    <row r="44" spans="1:39" ht="39.6" x14ac:dyDescent="0.25">
      <c r="A44" s="71" t="str">
        <f ca="1">INDIRECT(ADDRESS(ROW()+N_Offset_B,COLUMN()+(N_SpracheAuswahl)*26,,,"Text"))</f>
        <v>Beginn Arbeitsverhältnis</v>
      </c>
      <c r="B44" s="74" t="str">
        <f ca="1">INDIRECT(ADDRESS(ROW()+N_Offset_B,COLUMN()+(N_SpracheAuswahl)*26,,,"Text"))</f>
        <v>Geben Sie in Spalte C das Datum ein, ab wann das Arbeitsverhältnis gemäss Arbeitsvertrag besteht</v>
      </c>
      <c r="C44" s="572">
        <f>IF('  I  '!C61=0,0,'  I  '!C61)</f>
        <v>0</v>
      </c>
      <c r="D44" s="576" t="str">
        <f ca="1">INDIRECT(ADDRESS(ROW()+N_Offset_B,COLUMN()+(N_SpracheAuswahl)*26,,,"Text"))</f>
        <v>verwendet für die Berechnung des Dienstalters; eine Anstellung vor dem Assistenzbeitrag wird angerechnet</v>
      </c>
      <c r="G44" s="56"/>
      <c r="H44" s="56"/>
      <c r="I44" s="56"/>
      <c r="V44" s="67"/>
      <c r="AH44" s="67"/>
      <c r="AI44" s="67"/>
      <c r="AJ44" s="67"/>
      <c r="AK44" s="67"/>
      <c r="AL44" s="67"/>
      <c r="AM44" s="67"/>
    </row>
    <row r="45" spans="1:39" x14ac:dyDescent="0.25">
      <c r="A45" s="71" t="str">
        <f ca="1">INDIRECT(ADDRESS(ROW()+N_Offset_B,COLUMN()+(N_SpracheAuswahl)*26,,,"Text"))</f>
        <v>Art des Arbeitsverhältnisses</v>
      </c>
      <c r="B45" s="513" t="str">
        <f ca="1">B_AuswahlSpalteC</f>
        <v>(Auswahl in Spalte C)</v>
      </c>
      <c r="C45" s="100" t="str">
        <f ca="1">IF('  I  '!C62=0,0,'  I  '!C62)</f>
        <v>unbefristet</v>
      </c>
      <c r="G45" s="56"/>
      <c r="H45" s="56"/>
      <c r="I45" s="56"/>
      <c r="V45" s="67"/>
      <c r="AH45" s="67"/>
      <c r="AI45" s="67"/>
      <c r="AJ45" s="67"/>
      <c r="AK45" s="67"/>
      <c r="AL45" s="67"/>
      <c r="AM45" s="67"/>
    </row>
    <row r="46" spans="1:39" x14ac:dyDescent="0.25">
      <c r="A46" s="71" t="str">
        <f ca="1">IF(N_AnstellungBefristetAuswahl=1,G46,"")</f>
        <v/>
      </c>
      <c r="B46" s="74"/>
      <c r="C46" s="101">
        <f>IF('  I  '!C63=0,0,'  I  '!C63)</f>
        <v>0</v>
      </c>
      <c r="G46" s="56" t="str">
        <f ca="1">INDIRECT(ADDRESS(ROW()+N_Offset_B,COLUMN()+(N_SpracheAuswahl)*26,,,"Text"))</f>
        <v>Ende Arbeitsverhältnis</v>
      </c>
      <c r="H46" s="87"/>
      <c r="I46" s="56"/>
      <c r="V46" s="67"/>
      <c r="W46" s="67"/>
      <c r="X46" s="67"/>
      <c r="Y46" s="67"/>
      <c r="Z46" s="67"/>
      <c r="AA46" s="67"/>
      <c r="AB46" s="67"/>
      <c r="AC46" s="67"/>
      <c r="AD46" s="67"/>
      <c r="AE46" s="67"/>
      <c r="AF46" s="67"/>
      <c r="AG46" s="67"/>
      <c r="AH46" s="67"/>
      <c r="AI46" s="67"/>
      <c r="AJ46" s="67"/>
      <c r="AK46" s="67"/>
      <c r="AL46" s="67"/>
      <c r="AM46" s="67"/>
    </row>
    <row r="47" spans="1:39" x14ac:dyDescent="0.25">
      <c r="G47" s="56"/>
      <c r="H47" s="56"/>
      <c r="I47" s="56"/>
      <c r="V47" s="67"/>
      <c r="W47" s="67"/>
      <c r="X47" s="67"/>
      <c r="Y47" s="67"/>
      <c r="Z47" s="67"/>
      <c r="AA47" s="67"/>
      <c r="AB47" s="67"/>
      <c r="AC47" s="67"/>
      <c r="AD47" s="67"/>
      <c r="AE47" s="67"/>
      <c r="AF47" s="67"/>
      <c r="AG47" s="67"/>
      <c r="AH47" s="67"/>
      <c r="AI47" s="67"/>
      <c r="AJ47" s="67"/>
      <c r="AK47" s="67"/>
      <c r="AL47" s="67"/>
      <c r="AM47" s="67"/>
    </row>
    <row r="48" spans="1:39" x14ac:dyDescent="0.25">
      <c r="A48" s="75" t="str">
        <f ca="1">INDIRECT(ADDRESS(ROW()+N_Offset_B,COLUMN()+(N_SpracheAuswahl)*26,,,"Text"))</f>
        <v>3. Probezeit (Abschnitt 3 des Musterarbeitsvertrages)</v>
      </c>
      <c r="B48" s="76"/>
      <c r="C48" s="77"/>
      <c r="D48" s="76"/>
      <c r="G48" s="56"/>
      <c r="H48" s="56"/>
      <c r="I48" s="56"/>
      <c r="V48" s="67"/>
      <c r="W48" s="67"/>
      <c r="X48" s="67"/>
      <c r="Y48" s="67"/>
      <c r="Z48" s="67"/>
      <c r="AA48" s="67"/>
      <c r="AB48" s="67"/>
      <c r="AC48" s="67"/>
      <c r="AD48" s="67"/>
      <c r="AE48" s="67"/>
      <c r="AF48" s="67"/>
      <c r="AG48" s="67"/>
      <c r="AH48" s="67"/>
      <c r="AI48" s="67"/>
      <c r="AJ48" s="67"/>
      <c r="AK48" s="67"/>
      <c r="AL48" s="67"/>
      <c r="AM48" s="67"/>
    </row>
    <row r="49" spans="1:39" x14ac:dyDescent="0.25">
      <c r="A49" s="78" t="str">
        <f ca="1">INDIRECT(ADDRESS(ROW()+N_Offset_B,COLUMN()+(N_SpracheAuswahl)*26,,,"Text"))</f>
        <v>Dauer der Probezeit</v>
      </c>
      <c r="B49" s="347" t="str">
        <f ca="1">INDIRECT(ADDRESS(ROW()+N_Offset_B,COLUMN()+(N_SpracheAuswahl)*26,,,"Text"))</f>
        <v>in Monaten</v>
      </c>
      <c r="C49" s="360">
        <f>IF('  I  '!C66=0,"",'  I  '!C66)</f>
        <v>2</v>
      </c>
      <c r="D49" s="70"/>
      <c r="G49" s="56"/>
      <c r="H49" s="56"/>
      <c r="I49" s="56"/>
      <c r="V49" s="67"/>
      <c r="W49" s="67"/>
      <c r="X49" s="67"/>
      <c r="Y49" s="67"/>
      <c r="Z49" s="67"/>
      <c r="AA49" s="67"/>
      <c r="AB49" s="67"/>
      <c r="AC49" s="67"/>
      <c r="AD49" s="67"/>
      <c r="AE49" s="67"/>
      <c r="AF49" s="67"/>
      <c r="AG49" s="67"/>
      <c r="AH49" s="67"/>
      <c r="AI49" s="67"/>
      <c r="AJ49" s="67"/>
      <c r="AK49" s="67"/>
      <c r="AL49" s="67"/>
      <c r="AM49" s="67"/>
    </row>
    <row r="50" spans="1:39" x14ac:dyDescent="0.25">
      <c r="G50" s="56"/>
      <c r="H50" s="56"/>
      <c r="I50" s="56"/>
      <c r="V50" s="67"/>
      <c r="W50" s="67"/>
      <c r="X50" s="67"/>
      <c r="Y50" s="67"/>
      <c r="Z50" s="67"/>
      <c r="AA50" s="67"/>
      <c r="AB50" s="67"/>
      <c r="AC50" s="67"/>
      <c r="AD50" s="67"/>
      <c r="AE50" s="67"/>
      <c r="AF50" s="67"/>
      <c r="AG50" s="67"/>
      <c r="AH50" s="67"/>
      <c r="AI50" s="67"/>
      <c r="AJ50" s="67"/>
      <c r="AK50" s="67"/>
      <c r="AL50" s="67"/>
      <c r="AM50" s="67"/>
    </row>
    <row r="51" spans="1:39" x14ac:dyDescent="0.25">
      <c r="A51" s="75" t="str">
        <f ca="1">INDIRECT(ADDRESS(ROW()+N_Offset_B,COLUMN()+(N_SpracheAuswahl)*26,,,"Text"))</f>
        <v>4. Arbeitszeit (Abschnitt 4 des Musterarbeitsvertrages)</v>
      </c>
      <c r="B51" s="76"/>
      <c r="C51" s="77"/>
      <c r="D51" s="76"/>
      <c r="G51" s="56"/>
      <c r="H51" s="56"/>
      <c r="I51" s="56"/>
      <c r="V51" s="67"/>
      <c r="W51" s="67"/>
      <c r="X51" s="67"/>
      <c r="Y51" s="67"/>
      <c r="Z51" s="67"/>
      <c r="AA51" s="67"/>
      <c r="AB51" s="67"/>
      <c r="AC51" s="67"/>
      <c r="AD51" s="67"/>
      <c r="AE51" s="67"/>
      <c r="AF51" s="67"/>
      <c r="AG51" s="67"/>
      <c r="AH51" s="67"/>
      <c r="AI51" s="67"/>
      <c r="AJ51" s="67"/>
      <c r="AK51" s="67"/>
      <c r="AL51" s="67"/>
      <c r="AM51" s="67"/>
    </row>
    <row r="52" spans="1:39" ht="27" customHeight="1" x14ac:dyDescent="0.25">
      <c r="A52" s="72" t="str">
        <f ca="1">INDIRECT(ADDRESS(ROW()+N_Offset_B,COLUMN()+(N_SpracheAuswahl)*26,,,"Text"))</f>
        <v>Wie haben Sie die Arbeitszeit vereinbart?</v>
      </c>
      <c r="B52" s="512" t="str">
        <f ca="1">B_AuswahlSpalteC</f>
        <v>(Auswahl in Spalte C)</v>
      </c>
      <c r="C52" s="99" t="str">
        <f ca="1">IF('  I  '!C69=0,"",'  I  '!C69)</f>
        <v>Stunden pro Woche</v>
      </c>
      <c r="G52" s="56"/>
      <c r="H52" s="56"/>
      <c r="I52" s="56"/>
      <c r="V52" s="67"/>
      <c r="W52" s="67"/>
      <c r="X52" s="67"/>
      <c r="Y52" s="67"/>
      <c r="Z52" s="67"/>
      <c r="AA52" s="67"/>
      <c r="AB52" s="67"/>
      <c r="AC52" s="67"/>
      <c r="AD52" s="67"/>
      <c r="AE52" s="67"/>
      <c r="AF52" s="67"/>
      <c r="AG52" s="67"/>
      <c r="AH52" s="67"/>
      <c r="AI52" s="67"/>
      <c r="AJ52" s="67"/>
      <c r="AK52" s="67"/>
      <c r="AL52" s="67"/>
      <c r="AM52" s="67"/>
    </row>
    <row r="53" spans="1:39" x14ac:dyDescent="0.25">
      <c r="A53" s="57" t="str">
        <f ca="1">INDIRECT(ADDRESS(ROW()+N_Offset_B,COLUMN()+(N_SpracheAuswahl)*26,,,"Text"))</f>
        <v>Vereinbarte Arbeitszeit</v>
      </c>
      <c r="B53" s="348" t="str">
        <f ca="1">INDEX(L_ArbeitszeitVereinbarung,N_ArbeitszeitVereinbarungAuswahl,0)</f>
        <v>Stunden pro Woche</v>
      </c>
      <c r="C53" s="102">
        <f>IF('  I  '!C70=0,0,'  I  '!C70)</f>
        <v>0</v>
      </c>
      <c r="D53" s="634"/>
      <c r="G53" s="56"/>
      <c r="H53" s="56"/>
      <c r="I53" s="56"/>
      <c r="V53" s="67"/>
      <c r="W53" s="67"/>
      <c r="X53" s="67"/>
      <c r="Y53" s="67"/>
      <c r="Z53" s="67"/>
      <c r="AA53" s="67"/>
      <c r="AB53" s="67"/>
      <c r="AC53" s="67"/>
      <c r="AD53" s="67"/>
      <c r="AE53" s="67"/>
      <c r="AF53" s="67"/>
      <c r="AG53" s="67"/>
      <c r="AH53" s="67"/>
      <c r="AI53" s="67"/>
      <c r="AJ53" s="67"/>
      <c r="AK53" s="67"/>
      <c r="AL53" s="67"/>
      <c r="AM53" s="67"/>
    </row>
    <row r="54" spans="1:39" ht="39.9" customHeight="1" x14ac:dyDescent="0.25">
      <c r="A54" s="57" t="str">
        <f ca="1">INDIRECT(ADDRESS(ROW()+N_Offset_B,COLUMN()+(N_SpracheAuswahl)*26,,,"Text"))</f>
        <v>Berechnetes Pensum:</v>
      </c>
      <c r="B54" s="73"/>
      <c r="C54" s="103">
        <f ca="1">MIN((N_ArbeitszeitVereinbarungAuswahl = 1)*(C53/N_WochenAZ_100Prozent)+(N_ArbeitszeitVereinbarungAuswahl = 2)*(C53*12/365)/(N_WochenAZ_100Prozent/7),1)</f>
        <v>0</v>
      </c>
      <c r="D54" s="65" t="str">
        <f ca="1">N_WochenAZ_100Prozent&amp;" "&amp;G54</f>
        <v>42 Stunden = 100% Pensum; wird verwendet für die Berechnung der Soll-Arbeitszeit</v>
      </c>
      <c r="G54" s="56" t="str">
        <f ca="1">INDIRECT(ADDRESS(ROW()+N_Offset_B,COLUMN()+(N_SpracheAuswahl)*26,,,"Text"))</f>
        <v>Stunden = 100% Pensum; wird verwendet für die Berechnung der Soll-Arbeitszeit</v>
      </c>
      <c r="H54" s="56"/>
      <c r="I54" s="56"/>
      <c r="V54" s="67"/>
      <c r="W54" s="67"/>
      <c r="X54" s="67"/>
      <c r="Y54" s="67"/>
      <c r="Z54" s="67"/>
      <c r="AA54" s="67"/>
      <c r="AB54" s="67"/>
      <c r="AC54" s="67"/>
      <c r="AD54" s="67"/>
      <c r="AE54" s="67"/>
      <c r="AF54" s="67"/>
      <c r="AG54" s="67"/>
      <c r="AH54" s="67"/>
      <c r="AI54" s="67"/>
      <c r="AJ54" s="67"/>
      <c r="AK54" s="67"/>
      <c r="AL54" s="67"/>
      <c r="AM54" s="67"/>
    </row>
    <row r="55" spans="1:39" x14ac:dyDescent="0.25">
      <c r="G55" s="56"/>
      <c r="H55" s="56"/>
      <c r="I55" s="56"/>
      <c r="V55" s="67"/>
      <c r="W55" s="67"/>
      <c r="X55" s="67"/>
      <c r="Y55" s="67"/>
      <c r="Z55" s="67"/>
      <c r="AA55" s="67"/>
      <c r="AB55" s="67"/>
      <c r="AC55" s="67"/>
      <c r="AD55" s="67"/>
      <c r="AE55" s="67"/>
      <c r="AF55" s="67"/>
      <c r="AG55" s="67"/>
      <c r="AH55" s="67"/>
      <c r="AI55" s="67"/>
      <c r="AJ55" s="67"/>
      <c r="AK55" s="67"/>
      <c r="AL55" s="67"/>
      <c r="AM55" s="67"/>
    </row>
    <row r="56" spans="1:39" x14ac:dyDescent="0.25">
      <c r="A56" s="75" t="str">
        <f ca="1">INDIRECT(ADDRESS(ROW()+N_Offset_B,COLUMN()+(N_SpracheAuswahl)*26,,,"Text"))</f>
        <v>5. Lohn (Abschnitt 7 des Musterarbeitsvertrages)</v>
      </c>
      <c r="B56" s="76"/>
      <c r="C56" s="77"/>
      <c r="D56" s="76"/>
      <c r="G56" s="56"/>
      <c r="H56" s="56"/>
      <c r="I56" s="116" t="str">
        <f t="shared" ref="G56:J62" ca="1" si="2">INDIRECT(ADDRESS(ROW()+N_Offset_B,COLUMN()+(N_SpracheAuswahl)*26,,,"Text"))</f>
        <v>entspricht Monatssalär</v>
      </c>
      <c r="V56" s="67"/>
      <c r="W56" s="67"/>
      <c r="X56" s="67"/>
      <c r="Y56" s="67"/>
      <c r="Z56" s="67"/>
      <c r="AA56" s="67"/>
      <c r="AB56" s="67"/>
      <c r="AC56" s="67"/>
      <c r="AD56" s="67"/>
      <c r="AE56" s="67"/>
      <c r="AF56" s="67"/>
      <c r="AG56" s="67"/>
      <c r="AH56" s="67"/>
      <c r="AI56" s="67"/>
      <c r="AJ56" s="67"/>
      <c r="AK56" s="67"/>
      <c r="AL56" s="67"/>
      <c r="AM56" s="67"/>
    </row>
    <row r="57" spans="1:39" ht="4.6500000000000004" customHeight="1" x14ac:dyDescent="0.25">
      <c r="B57" s="664"/>
      <c r="C57"/>
      <c r="D57" s="634"/>
      <c r="G57" s="665"/>
      <c r="H57" s="666"/>
      <c r="I57" s="665"/>
      <c r="K57" s="665"/>
      <c r="L57" s="666"/>
      <c r="M57" s="665"/>
      <c r="O57" s="665"/>
      <c r="P57" s="666"/>
      <c r="Q57" s="665"/>
      <c r="V57" s="67"/>
      <c r="W57" s="67"/>
      <c r="X57" s="67"/>
      <c r="Y57" s="67"/>
      <c r="Z57" s="67"/>
      <c r="AA57" s="67"/>
      <c r="AB57" s="67"/>
      <c r="AC57" s="67"/>
      <c r="AD57" s="67"/>
      <c r="AE57" s="67"/>
      <c r="AF57" s="67"/>
      <c r="AG57" s="67"/>
      <c r="AH57" s="67"/>
      <c r="AI57" s="67"/>
      <c r="AJ57" s="67"/>
      <c r="AK57" s="67"/>
      <c r="AL57" s="67"/>
      <c r="AM57" s="67"/>
    </row>
    <row r="58" spans="1:39" customFormat="1" ht="3.15" customHeight="1" x14ac:dyDescent="0.25"/>
    <row r="59" spans="1:39" x14ac:dyDescent="0.25">
      <c r="A59" s="548" t="str">
        <f ca="1">INDIRECT(ADDRESS(ROW()+N_Offset_B,COLUMN()+(N_SpracheAuswahl)*26,,,"Text"))</f>
        <v>Lohnart</v>
      </c>
      <c r="B59" s="512" t="str">
        <f ca="1">B_AuswahlSpalteC</f>
        <v>(Auswahl in Spalte C)</v>
      </c>
      <c r="C59" s="790" t="str">
        <f ca="1">IF('  I  '!C74=0,0,'  I  '!C74)</f>
        <v>Monatslohn</v>
      </c>
      <c r="D59" s="634"/>
      <c r="G59" s="114">
        <f ca="1">IF(N_LohnartAuswahl=1,C60,0)</f>
        <v>0</v>
      </c>
      <c r="H59" s="115">
        <f ca="1">IF(N_LohnartAuswahl=2,C60,0)</f>
        <v>0</v>
      </c>
      <c r="I59" s="114">
        <f ca="1">(H59*N_Pensum*N_WochenAZ_100Prozent)/7*(365/12)</f>
        <v>0</v>
      </c>
      <c r="K59" s="114">
        <f ca="1">IF(N_LohnartAuswahl=1,D60,0)</f>
        <v>0</v>
      </c>
      <c r="L59" s="115">
        <f ca="1">IF(N_LohnartAuswahl=2,D60,0)</f>
        <v>0</v>
      </c>
      <c r="M59" s="114">
        <f ca="1">(L59*N_Pensum*N_WochenAZ_100Prozent)/7*(365/12)</f>
        <v>0</v>
      </c>
      <c r="O59" s="114">
        <f ca="1">IF(N_LohnartAuswahl=1,E60,0)</f>
        <v>0</v>
      </c>
      <c r="P59" s="115">
        <f ca="1">IF(N_LohnartAuswahl=2,E60,0)</f>
        <v>0</v>
      </c>
      <c r="Q59" s="114">
        <f ca="1">(P59*N_Pensum*N_WochenAZ_100Prozent)/7*(365/12)</f>
        <v>0</v>
      </c>
      <c r="V59" s="67"/>
      <c r="W59" s="67"/>
      <c r="X59" s="67"/>
      <c r="Y59" s="67"/>
      <c r="Z59" s="67"/>
      <c r="AA59" s="67"/>
      <c r="AB59" s="67"/>
      <c r="AC59" s="67"/>
      <c r="AD59" s="67"/>
      <c r="AE59" s="67"/>
      <c r="AF59" s="67"/>
      <c r="AG59" s="67"/>
      <c r="AH59" s="67"/>
      <c r="AI59" s="67"/>
      <c r="AJ59" s="67"/>
      <c r="AK59" s="67"/>
      <c r="AL59" s="67"/>
      <c r="AM59" s="67"/>
    </row>
    <row r="60" spans="1:39" x14ac:dyDescent="0.25">
      <c r="A60" s="57" t="str">
        <f ca="1">INDIRECT(ADDRESS(ROW()+N_Offset_B,COLUMN()+(N_SpracheAuswahl)*26,,,"Text"))</f>
        <v>Bruttolohn</v>
      </c>
      <c r="B60" s="349" t="str">
        <f ca="1">OFFSET(G60,0,N_LohnartAuswahl-1)</f>
        <v>Franken pro Monat</v>
      </c>
      <c r="C60" s="104">
        <f>IF('  I  '!C75=0,0,'  I  '!C75)</f>
        <v>0</v>
      </c>
      <c r="D60"/>
      <c r="E60"/>
      <c r="F60"/>
      <c r="G60" s="56" t="str">
        <f t="shared" ca="1" si="2"/>
        <v>Franken pro Monat</v>
      </c>
      <c r="H60" s="116" t="str">
        <f t="shared" ca="1" si="2"/>
        <v>Franken pro Stunde</v>
      </c>
      <c r="I60" s="116" t="str">
        <f t="shared" ca="1" si="2"/>
        <v>Franken pro Monat</v>
      </c>
      <c r="V60" s="67"/>
      <c r="W60" s="67"/>
      <c r="X60" s="67"/>
      <c r="Y60" s="67"/>
      <c r="Z60" s="67"/>
      <c r="AA60" s="67"/>
      <c r="AB60" s="67"/>
      <c r="AC60" s="67"/>
      <c r="AD60" s="67"/>
      <c r="AE60" s="67"/>
      <c r="AF60" s="67"/>
      <c r="AG60" s="67"/>
      <c r="AH60" s="67"/>
      <c r="AI60" s="67"/>
      <c r="AJ60" s="67"/>
      <c r="AK60" s="67"/>
      <c r="AL60" s="67"/>
      <c r="AM60" s="67"/>
    </row>
    <row r="61" spans="1:39" ht="27" customHeight="1" x14ac:dyDescent="0.25">
      <c r="A61" s="57" t="str">
        <f ca="1">G61</f>
        <v>Pauschal für Assistenz in der Nacht</v>
      </c>
      <c r="B61" s="350" t="s">
        <v>526</v>
      </c>
      <c r="C61" s="104">
        <f>IF('  I  '!C76=0,0,'  I  '!C76)</f>
        <v>0</v>
      </c>
      <c r="D61" s="844" t="str">
        <f ca="1">INDIRECT(ADDRESS(ROW()+N_Offset_B,COLUMN()+(N_SpracheAuswahl)*26,,,"Text"))</f>
        <v>bei Monatslohn nur für die Lohnfortzahlung</v>
      </c>
      <c r="G61" s="56" t="str">
        <f t="shared" ca="1" si="2"/>
        <v>Pauschal für Assistenz in der Nacht</v>
      </c>
      <c r="H61" s="56" t="str">
        <f t="shared" ca="1" si="2"/>
        <v>Franken pro Nacht</v>
      </c>
      <c r="I61" s="56"/>
      <c r="J61" s="56" t="str">
        <f t="shared" ca="1" si="2"/>
        <v>angerechnete Arbeitsstunden pro Nacht:</v>
      </c>
      <c r="K61" s="56" t="str">
        <f ca="1">Berechnungen!B20&amp;" "&amp;B_Stunden</f>
        <v>1 Stunden</v>
      </c>
      <c r="V61" s="67"/>
      <c r="W61" s="67"/>
      <c r="X61" s="67"/>
      <c r="Y61" s="67"/>
      <c r="Z61" s="67"/>
      <c r="AA61" s="67"/>
      <c r="AB61" s="67"/>
      <c r="AC61" s="67"/>
      <c r="AD61" s="67"/>
      <c r="AE61" s="67"/>
      <c r="AF61" s="67"/>
      <c r="AG61" s="67"/>
      <c r="AH61" s="67"/>
      <c r="AI61" s="67"/>
      <c r="AJ61" s="67"/>
      <c r="AK61" s="67"/>
      <c r="AL61" s="67"/>
      <c r="AM61" s="67"/>
    </row>
    <row r="62" spans="1:39" ht="27" customHeight="1" x14ac:dyDescent="0.25">
      <c r="A62" s="72" t="str">
        <f ca="1">IF(N_LohnartAuswahl=2,G62,"")</f>
        <v/>
      </c>
      <c r="B62" s="73"/>
      <c r="C62" s="135">
        <f ca="1">IF(N_LohnartAuswahl=2,OFFSET(Vorgabewerte!I20,C90-3,0,1,1),0)</f>
        <v>0</v>
      </c>
      <c r="D62" s="65" t="str">
        <f ca="1">IF(N_LohnartAuswahl=2,H62,"")</f>
        <v/>
      </c>
      <c r="E62" s="69"/>
      <c r="G62" s="56" t="str">
        <f t="shared" ca="1" si="2"/>
        <v>zuzüglich Ferienentschädigung</v>
      </c>
      <c r="H62" s="56" t="str">
        <f t="shared" ca="1" si="2"/>
        <v>berechnet aus vereinbarten Ferien</v>
      </c>
      <c r="I62" s="558"/>
      <c r="J62" s="87"/>
      <c r="V62" s="67"/>
      <c r="W62" s="67"/>
      <c r="X62" s="67"/>
      <c r="Y62" s="67"/>
      <c r="Z62" s="67"/>
      <c r="AA62" s="67"/>
      <c r="AB62" s="67"/>
      <c r="AC62" s="67"/>
      <c r="AD62" s="67"/>
      <c r="AE62" s="67"/>
      <c r="AF62" s="67"/>
      <c r="AG62" s="67"/>
      <c r="AH62" s="67"/>
      <c r="AI62" s="67"/>
      <c r="AJ62" s="67"/>
      <c r="AK62" s="67"/>
      <c r="AL62" s="67"/>
      <c r="AM62" s="67"/>
    </row>
    <row r="63" spans="1:39" ht="27" customHeight="1" x14ac:dyDescent="0.25">
      <c r="A63" s="81" t="str">
        <f ca="1">IF(N_LohnartAuswahl=2,G63,"")</f>
        <v/>
      </c>
      <c r="B63" s="514" t="str">
        <f ca="1">IF(N_LohnartAuswahl=2,B_AuswahlSpalteC,"")</f>
        <v/>
      </c>
      <c r="C63" s="118" t="str">
        <f ca="1">IF('  I  '!C78=0,"",'  I  '!C78)</f>
        <v>Zuschlag pro geleistete Arbeitsstunde</v>
      </c>
      <c r="G63" s="56" t="str">
        <f ca="1">INDIRECT(ADDRESS(ROW()+N_Offset_B,COLUMN()+(N_SpracheAuswahl)*26,,,"Text"))</f>
        <v>Art der Auszahlung des Ferienzuschlages</v>
      </c>
      <c r="H63" s="56"/>
      <c r="I63" s="56"/>
      <c r="V63" s="67"/>
      <c r="W63" s="67"/>
      <c r="X63" s="67"/>
      <c r="Y63" s="67"/>
      <c r="Z63" s="67"/>
      <c r="AA63" s="67"/>
      <c r="AB63" s="67"/>
      <c r="AC63" s="67"/>
      <c r="AD63" s="67"/>
      <c r="AE63" s="67"/>
      <c r="AF63" s="67"/>
      <c r="AG63" s="67"/>
      <c r="AH63" s="67"/>
      <c r="AI63" s="67"/>
      <c r="AJ63" s="67"/>
      <c r="AK63" s="67"/>
      <c r="AL63" s="67"/>
      <c r="AM63" s="67"/>
    </row>
    <row r="64" spans="1:39" ht="27" customHeight="1" x14ac:dyDescent="0.25">
      <c r="A64" s="72" t="str">
        <f ca="1">INDIRECT(ADDRESS(ROW()+N_Offset_B,COLUMN()+(N_SpracheAuswahl)*26,,,"Text"))</f>
        <v>Zuschlag für Überstunden</v>
      </c>
      <c r="B64" s="350" t="str">
        <f ca="1">INDIRECT(ADDRESS(ROW()+N_Offset_B,COLUMN()+(N_SpracheAuswahl)*26,,,"Text"))</f>
        <v>Prozent</v>
      </c>
      <c r="C64" s="105">
        <f>IF('  I  '!C79=0,0,'  I  '!C79)</f>
        <v>0</v>
      </c>
      <c r="G64" s="115">
        <f ca="1">IF(ISERROR(N_LohnartAuswahl),0,(N_LohnartAuswahl=1)*(Berechnungen!B12*(1+$C64))+(N_LohnartAuswahl=2)*(H59*(1+$C64)))</f>
        <v>0</v>
      </c>
      <c r="H64" s="56" t="s">
        <v>808</v>
      </c>
      <c r="I64" s="56"/>
      <c r="K64" s="115">
        <f ca="1">IF(ISERROR(N_LohnartAuswahl),0,(N_LohnartAuswahl=1)*(Berechnungen!D12*(1+$C64))+(N_LohnartAuswahl=2)*(L59*(1+$C64)))</f>
        <v>0</v>
      </c>
      <c r="L64" s="56" t="s">
        <v>808</v>
      </c>
      <c r="O64" s="115">
        <f ca="1">IF(ISERROR(N_LohnartAuswahl),0,(N_LohnartAuswahl=1)*(Berechnungen!F12*(1+$C64))+(N_LohnartAuswahl=2)*(P59*(1+$C64)))</f>
        <v>0</v>
      </c>
      <c r="V64" s="67"/>
      <c r="W64" s="67"/>
      <c r="X64" s="67"/>
      <c r="Y64" s="67"/>
      <c r="Z64" s="67"/>
      <c r="AA64" s="67"/>
      <c r="AB64" s="67"/>
      <c r="AC64" s="67"/>
      <c r="AD64" s="67"/>
      <c r="AE64" s="67"/>
      <c r="AF64" s="67"/>
      <c r="AG64" s="67"/>
      <c r="AH64" s="67"/>
      <c r="AI64" s="67"/>
      <c r="AJ64" s="67"/>
      <c r="AK64" s="67"/>
      <c r="AL64" s="67"/>
      <c r="AM64" s="67"/>
    </row>
    <row r="65" spans="1:39" x14ac:dyDescent="0.25">
      <c r="A65" s="57" t="str">
        <f ca="1">INDIRECT(ADDRESS(ROW()+N_Offset_B,COLUMN()+(N_SpracheAuswahl)*26,,,"Text"))</f>
        <v>13. Monatslohn</v>
      </c>
      <c r="B65" s="512" t="str">
        <f ca="1">B_AuswahlSpalteC</f>
        <v>(Auswahl in Spalte C)</v>
      </c>
      <c r="C65" s="106" t="str">
        <f ca="1">IF('  I  '!C80=0,"",'  I  '!C80)</f>
        <v>Nein</v>
      </c>
      <c r="G65" s="56"/>
      <c r="H65" s="56"/>
      <c r="I65" s="56"/>
      <c r="V65" s="67"/>
      <c r="W65" s="67"/>
      <c r="X65" s="67"/>
      <c r="Y65" s="67"/>
      <c r="Z65" s="67"/>
      <c r="AA65" s="67"/>
      <c r="AB65" s="67"/>
      <c r="AC65" s="67"/>
      <c r="AD65" s="67"/>
      <c r="AE65" s="67"/>
      <c r="AF65" s="67"/>
      <c r="AG65" s="67"/>
      <c r="AH65" s="67"/>
      <c r="AI65" s="67"/>
      <c r="AJ65" s="67"/>
      <c r="AK65" s="67"/>
      <c r="AL65" s="67"/>
      <c r="AM65" s="67"/>
    </row>
    <row r="66" spans="1:39" ht="27.6" customHeight="1" x14ac:dyDescent="0.25">
      <c r="A66" s="81" t="str">
        <f ca="1">IF(VLOOKUP(C65,A_JaNein_Auswahl,2,0)=1,G66,"")</f>
        <v/>
      </c>
      <c r="B66" s="512" t="str">
        <f ca="1">IF(VLOOKUP(C65,A_JaNein_Auswahl,2,0)=1,B_AuswahlSpalteC,"")</f>
        <v/>
      </c>
      <c r="C66" s="786" t="str">
        <f ca="1">IF('  I  '!C81=0,"",'  I  '!C81)</f>
        <v>Dezember</v>
      </c>
      <c r="G66" s="56" t="str">
        <f ca="1">INDIRECT(ADDRESS(ROW()+N_Offset_B,COLUMN()+(N_SpracheAuswahl)*26,,,"Text"))</f>
        <v>Zahlung erfolgt im</v>
      </c>
      <c r="H66" s="56"/>
      <c r="I66" s="56"/>
      <c r="V66" s="67"/>
      <c r="W66" s="67"/>
      <c r="X66" s="67"/>
      <c r="Y66" s="67"/>
      <c r="Z66" s="67"/>
      <c r="AA66" s="67"/>
      <c r="AB66" s="67"/>
      <c r="AC66" s="67"/>
      <c r="AD66" s="67"/>
      <c r="AE66" s="67"/>
      <c r="AF66" s="67"/>
      <c r="AG66" s="67"/>
      <c r="AH66" s="67"/>
      <c r="AI66" s="67"/>
      <c r="AJ66" s="67"/>
      <c r="AK66" s="67"/>
      <c r="AL66" s="67"/>
      <c r="AM66" s="67"/>
    </row>
    <row r="67" spans="1:39" x14ac:dyDescent="0.25">
      <c r="A67" s="577" t="str">
        <f ca="1">INDIRECT(ADDRESS(ROW()+N_Offset_B,COLUMN()+(N_SpracheAuswahl)*26,,,"Text"))</f>
        <v>Zahlungsverbindung Bank</v>
      </c>
      <c r="B67" s="350" t="str">
        <f ca="1">INDIRECT(ADDRESS(ROW()+N_Offset_B,COLUMN()+(N_SpracheAuswahl)*26,,,"Text"))</f>
        <v>Name der Bank und Ort</v>
      </c>
      <c r="C67" s="779" t="str">
        <f>IF('  I  '!C82=0,"",'  I  '!C82)</f>
        <v/>
      </c>
      <c r="G67" s="117" t="str">
        <f>C67&amp;"; "&amp;C68</f>
        <v xml:space="preserve">; </v>
      </c>
      <c r="H67" s="56"/>
      <c r="I67" s="56"/>
      <c r="V67" s="67"/>
      <c r="W67" s="67"/>
      <c r="X67" s="67"/>
      <c r="Y67" s="67"/>
      <c r="Z67" s="67"/>
      <c r="AA67" s="67"/>
      <c r="AB67" s="67"/>
      <c r="AC67" s="67"/>
      <c r="AD67" s="67"/>
      <c r="AE67" s="67"/>
      <c r="AF67" s="67"/>
      <c r="AG67" s="67"/>
      <c r="AH67" s="67"/>
      <c r="AI67" s="67"/>
      <c r="AJ67" s="67"/>
      <c r="AK67" s="67"/>
      <c r="AL67" s="67"/>
      <c r="AM67" s="67"/>
    </row>
    <row r="68" spans="1:39" x14ac:dyDescent="0.25">
      <c r="A68" s="780" t="str">
        <f ca="1">INDIRECT(ADDRESS(ROW()+N_Offset_B,COLUMN()+(N_SpracheAuswahl)*26,,,"Text"))</f>
        <v>Kontonummer IBAN</v>
      </c>
      <c r="B68" s="73"/>
      <c r="C68" s="779" t="str">
        <f>IF('  I  '!C83=0,"",'  I  '!C83)</f>
        <v/>
      </c>
      <c r="G68" s="56"/>
      <c r="H68" s="56"/>
      <c r="I68" s="56"/>
      <c r="V68" s="67"/>
      <c r="W68" s="67"/>
      <c r="X68" s="67"/>
      <c r="Y68" s="67"/>
      <c r="Z68" s="67"/>
      <c r="AA68" s="67"/>
      <c r="AB68" s="67"/>
      <c r="AC68" s="67"/>
      <c r="AD68" s="67"/>
      <c r="AE68" s="67"/>
      <c r="AF68" s="67"/>
      <c r="AG68" s="67"/>
      <c r="AH68" s="67"/>
      <c r="AI68" s="67"/>
      <c r="AJ68" s="67"/>
      <c r="AK68" s="67"/>
      <c r="AL68" s="67"/>
      <c r="AM68" s="67"/>
    </row>
    <row r="69" spans="1:39" x14ac:dyDescent="0.25">
      <c r="G69" s="56"/>
      <c r="H69" s="56"/>
      <c r="I69" s="56"/>
      <c r="V69" s="67"/>
      <c r="W69" s="67"/>
      <c r="X69" s="67"/>
      <c r="Y69" s="67"/>
      <c r="Z69" s="67"/>
      <c r="AA69" s="67"/>
      <c r="AB69" s="67"/>
      <c r="AC69" s="67"/>
      <c r="AD69" s="67"/>
      <c r="AE69" s="67"/>
      <c r="AF69" s="67"/>
      <c r="AG69" s="67"/>
      <c r="AH69" s="67"/>
      <c r="AI69" s="67"/>
      <c r="AJ69" s="67"/>
      <c r="AK69" s="67"/>
      <c r="AL69" s="67"/>
      <c r="AM69" s="67"/>
    </row>
    <row r="70" spans="1:39" x14ac:dyDescent="0.25">
      <c r="A70" s="66" t="str">
        <f t="shared" ref="A70:A82" ca="1" si="3">INDIRECT(ADDRESS(ROW()+N_Offset_B,COLUMN()+(N_SpracheAuswahl)*26,,,"Text"))</f>
        <v>Regelung der Sozialversicherungsbeiträge</v>
      </c>
      <c r="B70" s="362"/>
      <c r="C70" s="361" t="str">
        <f ca="1">INDIRECT(ADDRESS(ROW()+N_Offset_B,COLUMN()+(N_SpracheAuswahl)*26,,,"Text"))</f>
        <v>Anteil ArbeitgeberIn</v>
      </c>
      <c r="D70" s="361" t="str">
        <f ca="1">INDIRECT(ADDRESS(ROW()+N_Offset_B,COLUMN()+(N_SpracheAuswahl)*26,,,"Text"))</f>
        <v>Anteil ArbeitnehmerIn</v>
      </c>
      <c r="G70" s="556" t="s">
        <v>627</v>
      </c>
      <c r="H70" s="56"/>
      <c r="I70" s="56"/>
      <c r="K70" s="556" t="s">
        <v>627</v>
      </c>
      <c r="O70" s="556" t="s">
        <v>627</v>
      </c>
      <c r="V70" s="67"/>
      <c r="W70" s="67"/>
      <c r="X70" s="67"/>
      <c r="Y70" s="67"/>
      <c r="Z70" s="67"/>
      <c r="AA70" s="67"/>
      <c r="AB70" s="67"/>
      <c r="AC70" s="67"/>
      <c r="AD70" s="67"/>
      <c r="AE70" s="67"/>
      <c r="AF70" s="67"/>
      <c r="AG70" s="67"/>
      <c r="AH70" s="67"/>
      <c r="AI70" s="67"/>
      <c r="AJ70" s="67"/>
      <c r="AK70" s="67"/>
      <c r="AL70" s="67"/>
      <c r="AM70" s="67"/>
    </row>
    <row r="71" spans="1:39" x14ac:dyDescent="0.25">
      <c r="A71" s="57" t="str">
        <f t="shared" ca="1" si="3"/>
        <v>AHV / IV / EO</v>
      </c>
      <c r="B71" s="350" t="str">
        <f t="shared" ref="B71:B82" ca="1" si="4">INDIRECT(ADDRESS(ROW()+N_Offset_B,COLUMN()+(N_SpracheAuswahl)*26,,,"Text"))</f>
        <v>Prozent</v>
      </c>
      <c r="C71" s="219">
        <f>IF('  I  '!C86=0,"",'  I  '!C86)</f>
        <v>5.2999999999999999E-2</v>
      </c>
      <c r="D71" s="220">
        <f>IF('  I  '!D86=0,"",'  I  '!D86)</f>
        <v>5.2999999999999999E-2</v>
      </c>
      <c r="G71" s="557">
        <f ca="1">IFERROR($C71+$C72+$C74+$C75*($C71+$D71)+$C77+($C78/((N_LohnartAuswahl=1)*G59+(N_LohnartAuswahl=2)*((365-'  B  '!$C90*7)*N_ArbeitsstundenSollProKT*H59/12)))+$C79+(C80/((N_LohnartAuswahl=1)*G59+(N_LohnartAuswahl=2)*((365-'  B  '!$C90*7)*N_ArbeitsstundenSollProKT*H59/12)))+$C81+$C82,0)</f>
        <v>0</v>
      </c>
      <c r="I71" s="87"/>
      <c r="K71" s="557">
        <f ca="1">IFERROR($C71+$C72+$C74+$C75*($C71+$D71)+$C77+($C78/((N_LohnartAuswahl=1)*K59+(N_LohnartAuswahl=2)*((365-'  B  '!$C90*7)*N_ArbeitsstundenSollProKT*L59/12)))+$C79+(E80/((N_LohnartAuswahl=1)*K59+(N_LohnartAuswahl=2)*((365-'  B  '!$C90*7)*N_ArbeitsstundenSollProKT*L59/12)))+$C81+$C82,0)</f>
        <v>0</v>
      </c>
      <c r="O71" s="557">
        <f ca="1">IFERROR($C71+$C72+$C74+$C75*($C71+$D71)+$C77+($C78/((N_LohnartAuswahl=1)*O59+(N_LohnartAuswahl=2)*((365-'  B  '!$C90*7)*N_ArbeitsstundenSollProKT*P59/12)))+$C79+(F80/((N_LohnartAuswahl=1)*O59+(N_LohnartAuswahl=2)*((365-'  B  '!$C90*7)*N_ArbeitsstundenSollProKT*P59/12)))+$C81+$C82,0)</f>
        <v>0</v>
      </c>
      <c r="V71" s="67"/>
      <c r="W71" s="67"/>
      <c r="X71" s="67"/>
      <c r="Y71" s="67"/>
      <c r="Z71" s="67"/>
      <c r="AA71" s="67"/>
      <c r="AB71" s="67"/>
      <c r="AC71" s="67"/>
      <c r="AD71" s="67"/>
      <c r="AE71" s="67"/>
      <c r="AF71" s="67"/>
      <c r="AG71" s="67"/>
      <c r="AH71" s="67"/>
      <c r="AI71" s="67"/>
      <c r="AJ71" s="67"/>
      <c r="AK71" s="67"/>
      <c r="AL71" s="67"/>
      <c r="AM71" s="67"/>
    </row>
    <row r="72" spans="1:39" x14ac:dyDescent="0.25">
      <c r="A72" s="57" t="str">
        <f t="shared" ca="1" si="3"/>
        <v>ALV</v>
      </c>
      <c r="B72" s="350" t="str">
        <f t="shared" ca="1" si="4"/>
        <v>Prozent</v>
      </c>
      <c r="C72" s="219">
        <f>IF('  I  '!C87=0,"",'  I  '!C87)</f>
        <v>1.0999999999999999E-2</v>
      </c>
      <c r="D72" s="220">
        <f>IF('  I  '!D87=0,"",'  I  '!D87)</f>
        <v>1.0999999999999999E-2</v>
      </c>
      <c r="V72" s="67"/>
      <c r="W72" s="67"/>
      <c r="X72" s="67"/>
      <c r="Y72" s="67"/>
      <c r="Z72" s="67"/>
      <c r="AA72" s="67"/>
      <c r="AB72" s="67"/>
      <c r="AC72" s="67"/>
      <c r="AD72" s="67"/>
      <c r="AE72" s="67"/>
      <c r="AF72" s="67"/>
      <c r="AG72" s="67"/>
      <c r="AH72" s="67"/>
      <c r="AI72" s="67"/>
      <c r="AJ72" s="67"/>
      <c r="AK72" s="67"/>
      <c r="AL72" s="67"/>
      <c r="AM72" s="67"/>
    </row>
    <row r="73" spans="1:39" x14ac:dyDescent="0.25">
      <c r="A73" s="57" t="str">
        <f t="shared" ca="1" si="3"/>
        <v>Verwaltungskosten AHV</v>
      </c>
      <c r="B73" s="515" t="str">
        <f t="shared" ca="1" si="4"/>
        <v>Eingaben je nach Berechnungsart in nächster oder übernächster Zeile</v>
      </c>
      <c r="C73" s="91"/>
      <c r="V73" s="67"/>
      <c r="W73" s="67"/>
      <c r="X73" s="67"/>
      <c r="Y73" s="67"/>
      <c r="Z73" s="67"/>
      <c r="AA73" s="67"/>
      <c r="AB73" s="67"/>
      <c r="AC73" s="67"/>
      <c r="AD73" s="67"/>
      <c r="AE73" s="67"/>
      <c r="AF73" s="67"/>
      <c r="AG73" s="67"/>
      <c r="AH73" s="67"/>
      <c r="AI73" s="67"/>
      <c r="AJ73" s="67"/>
      <c r="AK73" s="67"/>
      <c r="AL73" s="67"/>
      <c r="AM73" s="67"/>
    </row>
    <row r="74" spans="1:39" ht="39.9" customHeight="1" x14ac:dyDescent="0.25">
      <c r="A74" s="119" t="str">
        <f t="shared" ca="1" si="3"/>
        <v>falls in % des Bruttolohn berechnet, in Spalte C eingeben</v>
      </c>
      <c r="B74" s="350" t="str">
        <f t="shared" ca="1" si="4"/>
        <v>Prozent</v>
      </c>
      <c r="C74" s="219">
        <f>IF('  I  '!C89=0,0,'  I  '!C89)</f>
        <v>0</v>
      </c>
      <c r="V74" s="67"/>
      <c r="W74" s="67"/>
      <c r="X74" s="67"/>
      <c r="Y74" s="67"/>
      <c r="Z74" s="67"/>
      <c r="AA74" s="67"/>
      <c r="AB74" s="67"/>
      <c r="AC74" s="67"/>
      <c r="AD74" s="67"/>
      <c r="AE74" s="67"/>
      <c r="AF74" s="67"/>
      <c r="AG74" s="67"/>
      <c r="AH74" s="67"/>
      <c r="AI74" s="67"/>
      <c r="AJ74" s="67"/>
      <c r="AK74" s="67"/>
      <c r="AL74" s="67"/>
      <c r="AM74" s="67"/>
    </row>
    <row r="75" spans="1:39" ht="39.9" customHeight="1" x14ac:dyDescent="0.25">
      <c r="A75" s="119" t="str">
        <f t="shared" ca="1" si="3"/>
        <v>falls in % des AHV-Beitrages berechnet, in Spalte C eingeben</v>
      </c>
      <c r="B75" s="350" t="str">
        <f t="shared" ca="1" si="4"/>
        <v>Prozent</v>
      </c>
      <c r="C75" s="219">
        <f>IF('  I  '!C90=0,0,'  I  '!C90)</f>
        <v>0</v>
      </c>
      <c r="V75" s="67"/>
      <c r="W75" s="67"/>
      <c r="X75" s="67"/>
      <c r="Y75" s="67"/>
      <c r="Z75" s="67"/>
      <c r="AA75" s="67"/>
      <c r="AB75" s="67"/>
      <c r="AC75" s="67"/>
      <c r="AD75" s="67"/>
      <c r="AE75" s="67"/>
      <c r="AF75" s="67"/>
      <c r="AG75" s="67"/>
      <c r="AH75" s="67"/>
      <c r="AI75" s="67"/>
      <c r="AJ75" s="67"/>
      <c r="AK75" s="67"/>
      <c r="AL75" s="67"/>
      <c r="AM75" s="67"/>
    </row>
    <row r="76" spans="1:39" x14ac:dyDescent="0.25">
      <c r="A76" s="57" t="str">
        <f t="shared" ca="1" si="3"/>
        <v>Berufsunfall (BU)</v>
      </c>
      <c r="B76" s="515" t="str">
        <f t="shared" ca="1" si="4"/>
        <v>Eingaben je nach Berechnungsart in nächster oder übernächster Zeile</v>
      </c>
      <c r="C76" s="91"/>
      <c r="D76" s="55"/>
      <c r="V76" s="67"/>
      <c r="W76" s="67"/>
      <c r="X76" s="67"/>
      <c r="Y76" s="67"/>
      <c r="Z76" s="67"/>
      <c r="AA76" s="67"/>
      <c r="AB76" s="67"/>
      <c r="AC76" s="67"/>
      <c r="AD76" s="67"/>
      <c r="AE76" s="67"/>
      <c r="AF76" s="67"/>
      <c r="AG76" s="67"/>
      <c r="AH76" s="67"/>
      <c r="AI76" s="67"/>
      <c r="AJ76" s="67"/>
      <c r="AK76" s="67"/>
      <c r="AL76" s="67"/>
      <c r="AM76" s="67"/>
    </row>
    <row r="77" spans="1:39" ht="27.6" customHeight="1" x14ac:dyDescent="0.25">
      <c r="A77" s="119" t="str">
        <f t="shared" ca="1" si="3"/>
        <v>falls in % berechnet, in Spalte C eingeben</v>
      </c>
      <c r="B77" s="350" t="str">
        <f t="shared" ca="1" si="4"/>
        <v>Prozent</v>
      </c>
      <c r="C77" s="219">
        <f>IF('  I  '!C92=0,0,'  I  '!C92)</f>
        <v>0</v>
      </c>
      <c r="D77" s="91"/>
      <c r="V77" s="67"/>
      <c r="W77" s="67"/>
      <c r="X77" s="67"/>
      <c r="Y77" s="67"/>
      <c r="Z77" s="67"/>
      <c r="AA77" s="67"/>
      <c r="AB77" s="67"/>
      <c r="AC77" s="67"/>
      <c r="AD77" s="67"/>
      <c r="AE77" s="67"/>
      <c r="AF77" s="67"/>
      <c r="AG77" s="67"/>
      <c r="AH77" s="67"/>
      <c r="AI77" s="67"/>
      <c r="AJ77" s="67"/>
      <c r="AK77" s="67"/>
      <c r="AL77" s="67"/>
      <c r="AM77" s="67"/>
    </row>
    <row r="78" spans="1:39" ht="27.6" customHeight="1" x14ac:dyDescent="0.25">
      <c r="A78" s="119" t="str">
        <f t="shared" ca="1" si="3"/>
        <v>falls in Fr. berechnet, in Spalte C eingeben</v>
      </c>
      <c r="B78" s="350" t="str">
        <f t="shared" ca="1" si="4"/>
        <v>Franken pro Monat</v>
      </c>
      <c r="C78" s="693">
        <f>IF('  I  '!C93=0,0,'  I  '!C93)</f>
        <v>0</v>
      </c>
      <c r="D78" s="91"/>
      <c r="V78" s="67"/>
      <c r="W78" s="67"/>
      <c r="X78" s="67"/>
      <c r="Y78" s="67"/>
      <c r="Z78" s="67"/>
      <c r="AA78" s="67"/>
      <c r="AB78" s="67"/>
      <c r="AC78" s="67"/>
      <c r="AD78" s="67"/>
      <c r="AE78" s="67"/>
      <c r="AF78" s="67"/>
      <c r="AG78" s="67"/>
      <c r="AH78" s="67"/>
      <c r="AI78" s="67"/>
      <c r="AJ78" s="67"/>
      <c r="AK78" s="67"/>
      <c r="AL78" s="67"/>
      <c r="AM78" s="67"/>
    </row>
    <row r="79" spans="1:39" ht="27.6" customHeight="1" x14ac:dyDescent="0.25">
      <c r="A79" s="72" t="str">
        <f t="shared" ca="1" si="3"/>
        <v>Nichtberufsunfall</v>
      </c>
      <c r="B79" s="350" t="str">
        <f t="shared" ca="1" si="4"/>
        <v>Prozent</v>
      </c>
      <c r="C79" s="219">
        <f>IF('  I  '!C94=0,0,'  I  '!C94)</f>
        <v>0</v>
      </c>
      <c r="D79" s="219">
        <f>IF('  I  '!D94=0,0,'  I  '!D94)</f>
        <v>0</v>
      </c>
      <c r="G79" s="56" t="s">
        <v>67</v>
      </c>
      <c r="V79" s="67"/>
      <c r="W79" s="67"/>
      <c r="X79" s="67"/>
      <c r="Y79" s="67"/>
      <c r="Z79" s="67"/>
      <c r="AA79" s="67"/>
      <c r="AB79" s="67"/>
      <c r="AC79" s="67"/>
      <c r="AD79" s="67"/>
      <c r="AE79" s="67"/>
      <c r="AF79" s="67"/>
      <c r="AG79" s="67"/>
      <c r="AH79" s="67"/>
      <c r="AI79" s="67"/>
      <c r="AJ79" s="67"/>
      <c r="AK79" s="67"/>
      <c r="AL79" s="67"/>
      <c r="AM79" s="67"/>
    </row>
    <row r="80" spans="1:39" x14ac:dyDescent="0.25">
      <c r="A80" s="72" t="str">
        <f t="shared" ca="1" si="3"/>
        <v>Berufliche Vorsorge (BVG)</v>
      </c>
      <c r="B80" s="350" t="str">
        <f t="shared" ca="1" si="4"/>
        <v>Franken pro Monat</v>
      </c>
      <c r="C80" s="747">
        <f>IF('  I  '!C95=0,0,'  I  '!C95)</f>
        <v>0</v>
      </c>
      <c r="D80" s="747">
        <f>IF('  I  '!D95=0,0,'  I  '!D95)</f>
        <v>0</v>
      </c>
      <c r="E80"/>
      <c r="F80"/>
      <c r="G80"/>
      <c r="H80"/>
      <c r="K80" s="56" t="s">
        <v>1388</v>
      </c>
      <c r="V80" s="67"/>
      <c r="W80" s="67"/>
      <c r="X80" s="67"/>
      <c r="Y80" s="67"/>
      <c r="Z80" s="67"/>
      <c r="AA80" s="67"/>
      <c r="AB80" s="67"/>
      <c r="AC80" s="67"/>
      <c r="AD80" s="67"/>
      <c r="AE80" s="67"/>
      <c r="AF80" s="67"/>
      <c r="AG80" s="67"/>
      <c r="AH80" s="67"/>
      <c r="AI80" s="67"/>
      <c r="AJ80" s="67"/>
      <c r="AK80" s="67"/>
      <c r="AL80" s="67"/>
      <c r="AM80" s="67"/>
    </row>
    <row r="81" spans="1:39" x14ac:dyDescent="0.25">
      <c r="A81" s="57" t="str">
        <f t="shared" ca="1" si="3"/>
        <v>Familienausgleichskasse</v>
      </c>
      <c r="B81" s="350" t="str">
        <f t="shared" ca="1" si="4"/>
        <v>Prozent</v>
      </c>
      <c r="C81" s="219">
        <v>1.4999999999999999E-2</v>
      </c>
      <c r="D81" s="219">
        <f>IF('  I  '!D96=0,0,'  I  '!D96)</f>
        <v>0</v>
      </c>
      <c r="V81" s="67"/>
      <c r="W81" s="67"/>
      <c r="X81" s="67"/>
      <c r="Y81" s="67"/>
      <c r="Z81" s="67"/>
      <c r="AA81" s="67"/>
      <c r="AB81" s="67"/>
      <c r="AC81" s="67"/>
      <c r="AD81" s="67"/>
      <c r="AE81" s="67"/>
      <c r="AF81" s="67"/>
      <c r="AG81" s="67"/>
      <c r="AH81" s="67"/>
      <c r="AI81" s="67"/>
      <c r="AJ81" s="67"/>
      <c r="AK81" s="67"/>
      <c r="AL81" s="67"/>
      <c r="AM81" s="67"/>
    </row>
    <row r="82" spans="1:39" x14ac:dyDescent="0.25">
      <c r="A82" s="72" t="str">
        <f t="shared" ca="1" si="3"/>
        <v>Krankentaggeld</v>
      </c>
      <c r="B82" s="350" t="str">
        <f t="shared" ca="1" si="4"/>
        <v>Prozent</v>
      </c>
      <c r="C82" s="219">
        <f>IF('  I  '!C97=0,0,'  I  '!C97)</f>
        <v>0</v>
      </c>
      <c r="D82" s="219">
        <f>IF('  I  '!D97=0,0,'  I  '!D97)</f>
        <v>0</v>
      </c>
      <c r="G82" s="56" t="s">
        <v>68</v>
      </c>
      <c r="V82" s="67"/>
      <c r="W82" s="67"/>
      <c r="X82" s="67"/>
      <c r="Y82" s="67"/>
      <c r="Z82" s="67"/>
      <c r="AA82" s="67"/>
      <c r="AB82" s="67"/>
      <c r="AC82" s="67"/>
      <c r="AD82" s="67"/>
      <c r="AE82" s="67"/>
      <c r="AF82" s="67"/>
      <c r="AG82" s="67"/>
      <c r="AH82" s="67"/>
      <c r="AI82" s="67"/>
      <c r="AJ82" s="67"/>
      <c r="AK82" s="67"/>
      <c r="AL82" s="67"/>
      <c r="AM82" s="67"/>
    </row>
    <row r="83" spans="1:39" x14ac:dyDescent="0.25">
      <c r="B83" s="55"/>
      <c r="D83" s="55"/>
      <c r="V83" s="67"/>
      <c r="W83" s="67"/>
      <c r="X83" s="67"/>
      <c r="Y83" s="67"/>
      <c r="Z83" s="67"/>
      <c r="AA83" s="67"/>
      <c r="AB83" s="67"/>
      <c r="AC83" s="67"/>
      <c r="AD83" s="67"/>
      <c r="AE83" s="67"/>
      <c r="AF83" s="67"/>
      <c r="AG83" s="67"/>
      <c r="AH83" s="67"/>
      <c r="AI83" s="67"/>
      <c r="AJ83" s="67"/>
      <c r="AK83" s="67"/>
      <c r="AL83" s="67"/>
      <c r="AM83" s="67"/>
    </row>
    <row r="84" spans="1:39" ht="50.1" customHeight="1" x14ac:dyDescent="0.25">
      <c r="A84" s="72" t="str">
        <f ca="1">INDIRECT(ADDRESS(ROW()+N_Offset_B,COLUMN()+(N_SpracheAuswahl)*26,,,"Text"))</f>
        <v>Kinder- / Ausbildungszulage</v>
      </c>
      <c r="B84" s="512" t="str">
        <f ca="1">B_AuswahlSpalteC</f>
        <v>(Auswahl in Spalte C)</v>
      </c>
      <c r="C84" s="110" t="str">
        <f ca="1">IF('  I  '!C99=0,"",'  I  '!C99)</f>
        <v>Nein</v>
      </c>
      <c r="D84" s="636" t="str">
        <f ca="1">G84&amp;" "&amp;N_Zeile_Kinderzulage&amp;" "&amp;H84</f>
        <v>Weitere Eingaben sind in den betreffenden Monatsblättern 01-12 Zeile 37 vorzunehmen</v>
      </c>
      <c r="G84" s="56" t="str">
        <f ca="1">INDIRECT(ADDRESS(ROW()+N_Offset_B,COLUMN()+(N_SpracheAuswahl)*26,,,"Text"))</f>
        <v>Weitere Eingaben sind in den betreffenden Monatsblättern 01-12 Zeile</v>
      </c>
      <c r="H84" s="56" t="str">
        <f ca="1">INDIRECT(ADDRESS(ROW()+N_Offset_B,COLUMN()+(N_SpracheAuswahl)*26,,,"Text"))</f>
        <v>vorzunehmen</v>
      </c>
      <c r="V84" s="67"/>
      <c r="W84" s="67"/>
      <c r="X84" s="67"/>
      <c r="Y84" s="67"/>
      <c r="Z84" s="67"/>
      <c r="AA84" s="67"/>
      <c r="AB84" s="67"/>
      <c r="AC84" s="67"/>
      <c r="AD84" s="67"/>
      <c r="AE84" s="67"/>
      <c r="AF84" s="67"/>
      <c r="AG84" s="67"/>
      <c r="AH84" s="67"/>
      <c r="AI84" s="67"/>
      <c r="AJ84" s="67"/>
      <c r="AK84" s="67"/>
      <c r="AL84" s="67"/>
      <c r="AM84" s="67"/>
    </row>
    <row r="85" spans="1:39" ht="50.1" customHeight="1" x14ac:dyDescent="0.25">
      <c r="A85" s="57" t="str">
        <f ca="1">INDIRECT(ADDRESS(ROW()+N_Offset_B,COLUMN()+(N_SpracheAuswahl)*26,,,"Text"))</f>
        <v>Abzug für Quellensteuer</v>
      </c>
      <c r="B85" s="512" t="str">
        <f ca="1">B_AuswahlSpalteC</f>
        <v>(Auswahl in Spalte C)</v>
      </c>
      <c r="C85" s="110" t="str">
        <f ca="1">IF('  I  '!C100=0,"",'  I  '!C100)</f>
        <v>Nein</v>
      </c>
      <c r="D85" s="636" t="str">
        <f ca="1">G85&amp;" "&amp;N_Zeile_Quellensteuer&amp;" "&amp;H85</f>
        <v>Weitere Eingaben sind in den betreffenden Monatsblättern 01-12 Zeile 38 vorzunehmen</v>
      </c>
      <c r="G85" s="56" t="str">
        <f ca="1">INDIRECT(ADDRESS(ROW()+N_Offset_B,COLUMN()+(N_SpracheAuswahl)*26,,,"Text"))</f>
        <v>Weitere Eingaben sind in den betreffenden Monatsblättern 01-12 Zeile</v>
      </c>
      <c r="H85" s="56" t="str">
        <f ca="1">INDIRECT(ADDRESS(ROW()+N_Offset_B,COLUMN()+(N_SpracheAuswahl)*26,,,"Text"))</f>
        <v>vorzunehmen</v>
      </c>
      <c r="V85" s="67"/>
      <c r="W85" s="67"/>
      <c r="X85" s="67"/>
      <c r="Y85" s="67"/>
      <c r="Z85" s="67"/>
      <c r="AA85" s="67"/>
      <c r="AB85" s="67"/>
      <c r="AC85" s="67"/>
      <c r="AD85" s="67"/>
      <c r="AE85" s="67"/>
      <c r="AF85" s="67"/>
      <c r="AG85" s="67"/>
      <c r="AH85" s="67"/>
      <c r="AI85" s="67"/>
      <c r="AJ85" s="67"/>
      <c r="AK85" s="67"/>
      <c r="AL85" s="67"/>
      <c r="AM85" s="67"/>
    </row>
    <row r="86" spans="1:39" x14ac:dyDescent="0.25">
      <c r="B86" s="55"/>
      <c r="V86" s="67"/>
      <c r="W86" s="67"/>
      <c r="X86" s="67"/>
      <c r="Y86" s="67"/>
      <c r="Z86" s="67"/>
      <c r="AA86" s="67"/>
      <c r="AB86" s="67"/>
      <c r="AC86" s="67"/>
      <c r="AD86" s="67"/>
      <c r="AE86" s="67"/>
      <c r="AF86" s="67"/>
      <c r="AG86" s="67"/>
      <c r="AH86" s="67"/>
      <c r="AI86" s="67"/>
      <c r="AJ86" s="67"/>
      <c r="AK86" s="67"/>
      <c r="AL86" s="67"/>
      <c r="AM86" s="67"/>
    </row>
    <row r="87" spans="1:39" ht="25.2" hidden="1" customHeight="1" x14ac:dyDescent="0.25">
      <c r="A87" s="72" t="str">
        <f t="shared" ref="A87:B87" ca="1" si="5">INDIRECT(ADDRESS(ROW()+N_Offset_B,COLUMN()+(N_SpracheAuswahl)*26,,,"Text"))</f>
        <v>Jahreslohn (inkl. Sozialvers.-Beiträge, ohne Kost und Logis)</v>
      </c>
      <c r="B87" s="350" t="str">
        <f t="shared" ca="1" si="5"/>
        <v>Franken</v>
      </c>
      <c r="C87" s="637">
        <f ca="1">((N_Monatslohn+I59)*12+(VLOOKUP('  B  '!$C65,A_JaNein_Auswahl,2,0)=1)*(N_Monatslohn+I59))*(1+C71+C72+C74+C75*(C71+D71)+C77+C79+C81+C82)+C78*12+C80*12</f>
        <v>0</v>
      </c>
      <c r="D87" s="636" t="s">
        <v>1248</v>
      </c>
      <c r="E87"/>
      <c r="V87" s="67"/>
      <c r="W87" s="67"/>
      <c r="X87" s="67"/>
      <c r="Y87" s="67"/>
      <c r="Z87" s="67"/>
      <c r="AA87" s="67"/>
      <c r="AB87" s="67"/>
      <c r="AC87" s="67"/>
      <c r="AD87" s="67"/>
      <c r="AE87" s="67"/>
      <c r="AF87" s="67"/>
      <c r="AG87" s="67"/>
      <c r="AH87" s="67"/>
      <c r="AI87" s="67"/>
      <c r="AJ87" s="67"/>
      <c r="AK87" s="67"/>
      <c r="AL87" s="67"/>
      <c r="AM87" s="67"/>
    </row>
    <row r="88" spans="1:39" x14ac:dyDescent="0.25">
      <c r="B88" s="55"/>
      <c r="V88" s="67"/>
      <c r="W88" s="67"/>
      <c r="X88" s="67"/>
      <c r="Y88" s="67"/>
      <c r="Z88" s="67"/>
      <c r="AA88" s="67"/>
      <c r="AB88" s="67"/>
      <c r="AC88" s="67"/>
      <c r="AD88" s="67"/>
      <c r="AE88" s="67"/>
      <c r="AF88" s="67"/>
      <c r="AG88" s="67"/>
      <c r="AH88" s="67"/>
      <c r="AI88" s="67"/>
      <c r="AJ88" s="67"/>
      <c r="AK88" s="67"/>
      <c r="AL88" s="67"/>
      <c r="AM88" s="67"/>
    </row>
    <row r="89" spans="1:39" x14ac:dyDescent="0.25">
      <c r="A89" s="75" t="str">
        <f ca="1">INDIRECT(ADDRESS(ROW()+N_Offset_B,COLUMN()+(N_SpracheAuswahl)*26,,,"Text"))</f>
        <v>6. Ferien (Abschnitt 8 des Musterarbeitsvertrages)</v>
      </c>
      <c r="B89" s="76"/>
      <c r="C89" s="77"/>
      <c r="D89" s="76"/>
      <c r="V89" s="67"/>
      <c r="W89" s="67"/>
      <c r="X89" s="67"/>
      <c r="Y89" s="67"/>
      <c r="Z89" s="67"/>
      <c r="AA89" s="67"/>
      <c r="AB89" s="67"/>
      <c r="AC89" s="67"/>
      <c r="AD89" s="67"/>
      <c r="AE89" s="67"/>
      <c r="AF89" s="67"/>
      <c r="AG89" s="67"/>
      <c r="AH89" s="67"/>
      <c r="AI89" s="67"/>
      <c r="AJ89" s="67"/>
      <c r="AK89" s="67"/>
      <c r="AL89" s="67"/>
      <c r="AM89" s="67"/>
    </row>
    <row r="90" spans="1:39" x14ac:dyDescent="0.25">
      <c r="A90" s="57" t="str">
        <f ca="1">INDIRECT(ADDRESS(ROW()+N_Offset_B,COLUMN()+(N_SpracheAuswahl)*26,,,"Text"))</f>
        <v>Ferienanspruch</v>
      </c>
      <c r="B90" s="350" t="str">
        <f ca="1">INDIRECT(ADDRESS(ROW()+N_Offset_B,COLUMN()+(N_SpracheAuswahl)*26,,,"Text"))</f>
        <v>Wochen pro Jahr</v>
      </c>
      <c r="C90" s="107">
        <f>IF('  I  '!C103=0,0,'  I  '!C103)</f>
        <v>4</v>
      </c>
      <c r="V90" s="67"/>
      <c r="W90" s="67"/>
      <c r="X90" s="67"/>
      <c r="Y90" s="67"/>
      <c r="Z90" s="67"/>
      <c r="AA90" s="67"/>
      <c r="AB90" s="67"/>
      <c r="AC90" s="67"/>
      <c r="AD90" s="67"/>
      <c r="AE90" s="67"/>
      <c r="AF90" s="67"/>
      <c r="AG90" s="67"/>
      <c r="AH90" s="67"/>
      <c r="AI90" s="67"/>
      <c r="AJ90" s="67"/>
      <c r="AK90" s="67"/>
      <c r="AL90" s="67"/>
      <c r="AM90" s="67"/>
    </row>
    <row r="91" spans="1:39" ht="27" customHeight="1" x14ac:dyDescent="0.25">
      <c r="A91" s="55" t="str">
        <f ca="1">INDIRECT(ADDRESS(ROW()+N_Offset_B,COLUMN()+(N_SpracheAuswahl)*26,,,"Text"))</f>
        <v>Ferienguthaben auf Lohnabrechnung ausdrucken?</v>
      </c>
      <c r="C91" s="110" t="str">
        <f ca="1">IF('  I  '!C104=0,"",'  I  '!C104)</f>
        <v>Nein</v>
      </c>
      <c r="G91" s="56">
        <f ca="1">IF(ISERROR(VLOOKUP(C91,A_JaNein_Auswahl,2,0)),0,VLOOKUP(C91,A_JaNein_Auswahl,2,0))</f>
        <v>2</v>
      </c>
      <c r="V91" s="67"/>
      <c r="W91" s="67"/>
      <c r="X91" s="67"/>
      <c r="Y91" s="67"/>
      <c r="Z91" s="67"/>
      <c r="AA91" s="67"/>
      <c r="AB91" s="67"/>
      <c r="AC91" s="67"/>
      <c r="AD91" s="67"/>
      <c r="AE91" s="67"/>
      <c r="AF91" s="67"/>
      <c r="AG91" s="67"/>
      <c r="AH91" s="67"/>
      <c r="AI91" s="67"/>
      <c r="AJ91" s="67"/>
      <c r="AK91" s="67"/>
      <c r="AL91" s="67"/>
      <c r="AM91" s="67"/>
    </row>
    <row r="92" spans="1:39" x14ac:dyDescent="0.25">
      <c r="A92" s="75" t="str">
        <f t="shared" ref="A92:A98" ca="1" si="6">INDIRECT(ADDRESS(ROW()+N_Offset_B,COLUMN()+(N_SpracheAuswahl)*26,,,"Text"))</f>
        <v>7. Beendigung des Arbeitsverhältnisses (Abschnitt 9 des Musterarbeitsvertrages)</v>
      </c>
      <c r="B92" s="77"/>
      <c r="C92" s="77"/>
      <c r="D92" s="76"/>
      <c r="V92" s="67"/>
      <c r="W92" s="67"/>
      <c r="X92" s="67"/>
      <c r="Y92" s="67"/>
      <c r="Z92" s="67"/>
      <c r="AA92" s="67"/>
      <c r="AB92" s="67"/>
      <c r="AC92" s="67"/>
      <c r="AD92" s="67"/>
      <c r="AE92" s="67"/>
      <c r="AF92" s="67"/>
      <c r="AG92" s="67"/>
      <c r="AH92" s="67"/>
      <c r="AI92" s="67"/>
      <c r="AJ92" s="67"/>
      <c r="AK92" s="67"/>
      <c r="AL92" s="67"/>
      <c r="AM92" s="67"/>
    </row>
    <row r="93" spans="1:39" s="402" customFormat="1" ht="17.100000000000001" customHeight="1" x14ac:dyDescent="0.25">
      <c r="A93" s="405" t="str">
        <f t="shared" ca="1" si="6"/>
        <v>Ohne abweichende Regelung im Arbeitsvertrag gelten die Angaben gemäss OR in Spalte D</v>
      </c>
      <c r="D93" s="419"/>
      <c r="V93" s="420"/>
      <c r="W93" s="420"/>
      <c r="X93" s="420"/>
      <c r="Y93" s="420"/>
      <c r="Z93" s="420"/>
      <c r="AA93" s="420"/>
      <c r="AB93" s="420"/>
      <c r="AC93" s="420"/>
      <c r="AD93" s="420"/>
      <c r="AE93" s="420"/>
      <c r="AF93" s="420"/>
      <c r="AG93" s="420"/>
      <c r="AH93" s="420"/>
      <c r="AI93" s="420"/>
      <c r="AJ93" s="420"/>
      <c r="AK93" s="420"/>
      <c r="AL93" s="420"/>
      <c r="AM93" s="420"/>
    </row>
    <row r="94" spans="1:39" ht="27" customHeight="1" x14ac:dyDescent="0.25">
      <c r="A94" s="72" t="str">
        <f t="shared" ca="1" si="6"/>
        <v>Kündigungsfrist im 1. Dienstjahr</v>
      </c>
      <c r="B94" s="350" t="str">
        <f ca="1">INDIRECT(ADDRESS(ROW()+N_Offset_B,COLUMN()+(N_SpracheAuswahl)*26,,,"Text"))</f>
        <v>Monate</v>
      </c>
      <c r="C94" s="108">
        <f>IF('  I  '!C107=0,0,'  I  '!C107)</f>
        <v>2</v>
      </c>
      <c r="D94" s="120">
        <v>2</v>
      </c>
      <c r="F94" s="56">
        <f>IF(OR(C94=0,C94=""),D94,C94)</f>
        <v>2</v>
      </c>
      <c r="G94" s="56"/>
      <c r="H94" s="56"/>
      <c r="V94" s="67"/>
      <c r="W94" s="67"/>
      <c r="X94" s="67"/>
      <c r="Y94" s="67"/>
      <c r="Z94" s="67"/>
      <c r="AA94" s="67"/>
      <c r="AB94" s="67"/>
      <c r="AC94" s="67"/>
      <c r="AD94" s="67"/>
      <c r="AE94" s="67"/>
      <c r="AF94" s="67"/>
      <c r="AG94" s="67"/>
      <c r="AH94" s="67"/>
      <c r="AI94" s="67"/>
      <c r="AJ94" s="67"/>
      <c r="AK94" s="67"/>
      <c r="AL94" s="67"/>
      <c r="AM94" s="67"/>
    </row>
    <row r="95" spans="1:39" ht="27" customHeight="1" x14ac:dyDescent="0.25">
      <c r="A95" s="72" t="str">
        <f t="shared" ca="1" si="6"/>
        <v>Kündigungsfrist ab 2. Dienstjahr</v>
      </c>
      <c r="B95" s="350" t="str">
        <f ca="1">INDIRECT(ADDRESS(ROW()+N_Offset_B,COLUMN()+(N_SpracheAuswahl)*26,,,"Text"))</f>
        <v>Monate</v>
      </c>
      <c r="C95" s="108">
        <f>IF('  I  '!C108=0,0,'  I  '!C108)</f>
        <v>2</v>
      </c>
      <c r="D95" s="120">
        <v>2</v>
      </c>
      <c r="F95" s="56">
        <f>IF(OR(C95=0,C95=""),D95,C95)</f>
        <v>2</v>
      </c>
      <c r="G95" s="56"/>
      <c r="H95" s="56"/>
      <c r="V95" s="67"/>
      <c r="W95" s="67"/>
      <c r="X95" s="67"/>
      <c r="Y95" s="67"/>
      <c r="Z95" s="67"/>
      <c r="AA95" s="67"/>
      <c r="AB95" s="67"/>
      <c r="AC95" s="67"/>
      <c r="AD95" s="67"/>
      <c r="AE95" s="67"/>
      <c r="AF95" s="67"/>
      <c r="AG95" s="67"/>
      <c r="AH95" s="67"/>
      <c r="AI95" s="67"/>
      <c r="AJ95" s="67"/>
      <c r="AK95" s="67"/>
      <c r="AL95" s="67"/>
      <c r="AM95" s="67"/>
    </row>
    <row r="96" spans="1:39" x14ac:dyDescent="0.25">
      <c r="A96" s="57" t="str">
        <f t="shared" ca="1" si="6"/>
        <v>Kündigung möglich per</v>
      </c>
      <c r="B96" s="512" t="str">
        <f ca="1">B_AuswahlSpalteC</f>
        <v>(Auswahl in Spalte C)</v>
      </c>
      <c r="C96" s="109" t="str">
        <f>IF('  I  '!C109=0,"",'  I  '!C109)</f>
        <v/>
      </c>
      <c r="D96" s="120" t="str">
        <f ca="1">INDEX(L_Kündigungsmöglichkeit,2,0)</f>
        <v>Ende Monat</v>
      </c>
      <c r="F96" s="56" t="str">
        <f ca="1">IF(OR(C96=0,C96=""),D96,C96)</f>
        <v>Ende Monat</v>
      </c>
      <c r="G96" s="56"/>
      <c r="H96" s="56"/>
      <c r="V96" s="67"/>
      <c r="W96" s="67"/>
      <c r="X96" s="67"/>
      <c r="Y96" s="67"/>
      <c r="Z96" s="67"/>
      <c r="AA96" s="67"/>
      <c r="AB96" s="67"/>
      <c r="AC96" s="67"/>
      <c r="AD96" s="67"/>
      <c r="AE96" s="67"/>
      <c r="AF96" s="67"/>
      <c r="AG96" s="67"/>
      <c r="AH96" s="67"/>
      <c r="AI96" s="67"/>
      <c r="AJ96" s="67"/>
      <c r="AK96" s="67"/>
      <c r="AL96" s="67"/>
      <c r="AM96" s="67"/>
    </row>
    <row r="97" spans="1:39" ht="39.9" customHeight="1" x14ac:dyDescent="0.25">
      <c r="A97" s="57" t="str">
        <f t="shared" ca="1" si="6"/>
        <v>gekündigt auf Datum</v>
      </c>
      <c r="B97" s="73" t="str">
        <f ca="1">G97&amp;(ROW(Linkziel_Kündigung)+1)</f>
        <v>Bei fristloser Kündigung entsprechend auswählen in C93</v>
      </c>
      <c r="C97" s="573" t="str">
        <f>IF('  I  '!C110=0,"",'  I  '!C110)</f>
        <v/>
      </c>
      <c r="D97" s="517" t="str">
        <f ca="1">INDIRECT(ADDRESS(ROW()+N_Offset_B,COLUMN()+(N_SpracheAuswahl)*26,,,"Text"))</f>
        <v>Angabe benötigt für die korrekte Berechnung des Lohnes im letzten Monat</v>
      </c>
      <c r="F97" s="56"/>
      <c r="G97" s="56" t="str">
        <f ca="1">INDIRECT(ADDRESS(ROW()+N_Offset_B,COLUMN()+(N_SpracheAuswahl)*26,,,"Text"))</f>
        <v>Bei fristloser Kündigung entsprechend auswählen in C</v>
      </c>
      <c r="H97" s="56"/>
      <c r="V97" s="67"/>
      <c r="W97" s="67"/>
      <c r="X97" s="67"/>
      <c r="Y97" s="67"/>
      <c r="Z97" s="67"/>
      <c r="AA97" s="67"/>
      <c r="AB97" s="67"/>
      <c r="AC97" s="67"/>
      <c r="AD97" s="67"/>
      <c r="AE97" s="67"/>
      <c r="AF97" s="67"/>
      <c r="AG97" s="67"/>
      <c r="AH97" s="67"/>
      <c r="AI97" s="67"/>
      <c r="AJ97" s="67"/>
      <c r="AK97" s="67"/>
      <c r="AL97" s="67"/>
      <c r="AM97" s="67"/>
    </row>
    <row r="98" spans="1:39" x14ac:dyDescent="0.25">
      <c r="A98" s="57" t="str">
        <f t="shared" ca="1" si="6"/>
        <v>gekündigt durch</v>
      </c>
      <c r="B98" s="512" t="str">
        <f ca="1">B_AuswahlSpalteC</f>
        <v>(Auswahl in Spalte C)</v>
      </c>
      <c r="C98" s="110" t="str">
        <f>IF('  I  '!C111=0,"",'  I  '!C111)</f>
        <v/>
      </c>
      <c r="D98" s="121"/>
      <c r="F98" s="56"/>
      <c r="G98" s="87"/>
      <c r="H98" s="56"/>
      <c r="V98" s="67"/>
      <c r="W98" s="67"/>
      <c r="X98" s="67"/>
      <c r="Y98" s="67"/>
      <c r="Z98" s="67"/>
      <c r="AA98" s="67"/>
      <c r="AB98" s="67"/>
      <c r="AC98" s="67"/>
      <c r="AD98" s="67"/>
      <c r="AE98" s="67"/>
      <c r="AF98" s="67"/>
      <c r="AG98" s="67"/>
      <c r="AH98" s="67"/>
      <c r="AI98" s="67"/>
      <c r="AJ98" s="67"/>
      <c r="AK98" s="67"/>
      <c r="AL98" s="67"/>
      <c r="AM98" s="67"/>
    </row>
    <row r="99" spans="1:39" x14ac:dyDescent="0.25">
      <c r="D99" s="354"/>
      <c r="F99" s="56"/>
      <c r="G99" s="56"/>
      <c r="H99" s="56"/>
      <c r="V99" s="67"/>
      <c r="W99" s="67"/>
      <c r="X99" s="67"/>
      <c r="Y99" s="67"/>
      <c r="Z99" s="67"/>
      <c r="AA99" s="67"/>
      <c r="AB99" s="67"/>
      <c r="AC99" s="67"/>
      <c r="AD99" s="67"/>
      <c r="AE99" s="67"/>
      <c r="AF99" s="67"/>
      <c r="AG99" s="67"/>
      <c r="AH99" s="67"/>
      <c r="AI99" s="67"/>
      <c r="AJ99" s="67"/>
      <c r="AK99" s="67"/>
      <c r="AL99" s="67"/>
      <c r="AM99" s="67"/>
    </row>
    <row r="100" spans="1:39" x14ac:dyDescent="0.25">
      <c r="A100" s="75" t="str">
        <f t="shared" ref="A100:A107" ca="1" si="7">INDIRECT(ADDRESS(ROW()+N_Offset_B,COLUMN()+(N_SpracheAuswahl)*26,,,"Text"))</f>
        <v>8. Regelungen zur Lohnfortzahlung (Abschnitt 10 des Musterarbeitsvertrages)</v>
      </c>
      <c r="B100" s="76"/>
      <c r="C100" s="77"/>
      <c r="D100" s="388"/>
      <c r="F100" s="56"/>
      <c r="G100" s="56"/>
      <c r="H100" s="56"/>
      <c r="V100" s="67"/>
      <c r="W100" s="67"/>
      <c r="X100" s="67"/>
      <c r="Y100" s="67"/>
      <c r="Z100" s="67"/>
      <c r="AA100" s="67"/>
      <c r="AB100" s="67"/>
      <c r="AC100" s="67"/>
      <c r="AD100" s="67"/>
      <c r="AE100" s="67"/>
      <c r="AF100" s="67"/>
      <c r="AG100" s="67"/>
      <c r="AH100" s="67"/>
      <c r="AI100" s="67"/>
      <c r="AJ100" s="67"/>
      <c r="AK100" s="67"/>
      <c r="AL100" s="67"/>
      <c r="AM100" s="67"/>
    </row>
    <row r="101" spans="1:39" ht="27" customHeight="1" x14ac:dyDescent="0.25">
      <c r="A101" s="856" t="str">
        <f t="shared" ca="1" si="7"/>
        <v>Falls ArbeitnehmerIn verhindert (OR Art. 324a) wird die Lohnfortzahlung gemäss Berner Skala berechnet. Bei Nächten wird die Berner Skala nicht berücksichtigt.</v>
      </c>
      <c r="B101" s="856"/>
      <c r="C101" s="856"/>
      <c r="D101" s="856"/>
      <c r="F101" s="56"/>
      <c r="G101" s="56"/>
      <c r="H101" s="56"/>
      <c r="V101" s="67"/>
      <c r="W101" s="67"/>
      <c r="X101" s="67"/>
      <c r="Y101" s="67"/>
      <c r="Z101" s="67"/>
      <c r="AA101" s="67"/>
      <c r="AB101" s="67"/>
      <c r="AC101" s="67"/>
      <c r="AD101" s="67"/>
      <c r="AE101" s="67"/>
      <c r="AF101" s="67"/>
      <c r="AG101" s="67"/>
      <c r="AH101" s="67"/>
      <c r="AI101" s="67"/>
      <c r="AJ101" s="67"/>
      <c r="AK101" s="67"/>
      <c r="AL101" s="67"/>
      <c r="AM101" s="67"/>
    </row>
    <row r="102" spans="1:39" ht="20.100000000000001" customHeight="1" x14ac:dyDescent="0.25">
      <c r="A102" s="64" t="str">
        <f t="shared" ca="1" si="7"/>
        <v>Falls Spalte C nicht ausgefüllt, gelten Werte in Spalte D</v>
      </c>
      <c r="C102" s="95"/>
      <c r="D102" s="121"/>
      <c r="F102" s="56"/>
      <c r="G102" s="56"/>
      <c r="H102" s="56"/>
      <c r="V102" s="67"/>
      <c r="W102" s="67"/>
      <c r="X102" s="67"/>
      <c r="Y102" s="67"/>
      <c r="Z102" s="67"/>
      <c r="AA102" s="67"/>
      <c r="AB102" s="67"/>
      <c r="AC102" s="67"/>
      <c r="AD102" s="67"/>
      <c r="AE102" s="67"/>
      <c r="AF102" s="67"/>
      <c r="AG102" s="67"/>
      <c r="AH102" s="67"/>
      <c r="AI102" s="67"/>
      <c r="AJ102" s="67"/>
      <c r="AK102" s="67"/>
      <c r="AL102" s="67"/>
      <c r="AM102" s="67"/>
    </row>
    <row r="103" spans="1:39" x14ac:dyDescent="0.25">
      <c r="A103" s="66" t="str">
        <f t="shared" ca="1" si="7"/>
        <v>Regelung bei Unfall wegen Leistung der Unfallversicherung</v>
      </c>
      <c r="B103" s="55"/>
      <c r="C103" s="95"/>
      <c r="D103" s="122"/>
      <c r="F103" s="56"/>
      <c r="G103" s="56"/>
      <c r="H103" s="56"/>
      <c r="V103" s="67"/>
      <c r="W103" s="67"/>
      <c r="X103" s="67"/>
      <c r="Y103" s="67"/>
      <c r="Z103" s="67"/>
      <c r="AA103" s="67"/>
      <c r="AB103" s="67"/>
      <c r="AC103" s="67"/>
      <c r="AD103" s="67"/>
      <c r="AE103" s="67"/>
      <c r="AF103" s="67"/>
      <c r="AG103" s="67"/>
      <c r="AH103" s="67"/>
      <c r="AI103" s="67"/>
      <c r="AJ103" s="67"/>
      <c r="AK103" s="67"/>
      <c r="AL103" s="67"/>
      <c r="AM103" s="67"/>
    </row>
    <row r="104" spans="1:39" ht="39.9" customHeight="1" x14ac:dyDescent="0.25">
      <c r="A104" s="781" t="str">
        <f t="shared" ca="1" si="7"/>
        <v>Dauer Wartefrist Unfalltaggeld</v>
      </c>
      <c r="B104" s="350" t="str">
        <f ca="1">INDIRECT(ADDRESS(ROW()+N_Offset_B,COLUMN()+(N_SpracheAuswahl)*26,,,"Text"))</f>
        <v>Tage</v>
      </c>
      <c r="C104" s="111" t="str">
        <f>IF('  I  '!C117=0,"",'  I  '!C117)</f>
        <v/>
      </c>
      <c r="D104" s="123">
        <v>2</v>
      </c>
      <c r="F104" s="56">
        <f>IF(OR(C104=0,C104=""),D104,C104)</f>
        <v>2</v>
      </c>
      <c r="G104" s="56"/>
      <c r="H104" s="56"/>
      <c r="V104" s="67"/>
      <c r="W104" s="67"/>
      <c r="X104" s="67"/>
      <c r="Y104" s="67"/>
      <c r="Z104" s="67"/>
      <c r="AA104" s="67"/>
      <c r="AB104" s="67"/>
      <c r="AC104" s="67"/>
      <c r="AD104" s="67"/>
      <c r="AE104" s="67"/>
      <c r="AF104" s="67"/>
      <c r="AG104" s="67"/>
      <c r="AH104" s="67"/>
      <c r="AI104" s="67"/>
      <c r="AJ104" s="67"/>
      <c r="AK104" s="67"/>
      <c r="AL104" s="67"/>
      <c r="AM104" s="67"/>
    </row>
    <row r="105" spans="1:39" ht="27.6" customHeight="1" x14ac:dyDescent="0.25">
      <c r="A105" s="781" t="str">
        <f t="shared" ca="1" si="7"/>
        <v>Höhe vereinbarter Lohn bei Unfall</v>
      </c>
      <c r="B105" s="350" t="str">
        <f ca="1">INDIRECT(ADDRESS(ROW()+N_Offset_B,COLUMN()+(N_SpracheAuswahl)*26,,,"Text"))</f>
        <v>Prozent vom Bruttolohn</v>
      </c>
      <c r="C105" s="761" t="str">
        <f>IF('  I  '!C118=0,"",'  I  '!C118)</f>
        <v/>
      </c>
      <c r="D105" s="123" t="s">
        <v>71</v>
      </c>
      <c r="F105" s="56">
        <f>IF(OR(C105=0,C105=""),F106,C105)</f>
        <v>0.8</v>
      </c>
      <c r="G105" s="56"/>
      <c r="H105" s="56"/>
      <c r="V105" s="67"/>
      <c r="W105" s="67"/>
      <c r="X105" s="67"/>
      <c r="Y105" s="67"/>
      <c r="Z105" s="67"/>
      <c r="AA105" s="67"/>
      <c r="AB105" s="67"/>
      <c r="AC105" s="67"/>
      <c r="AD105" s="67"/>
      <c r="AE105" s="67"/>
      <c r="AF105" s="67"/>
      <c r="AG105" s="67"/>
      <c r="AH105" s="67"/>
      <c r="AI105" s="67"/>
      <c r="AJ105" s="67"/>
      <c r="AK105" s="67"/>
      <c r="AL105" s="67"/>
      <c r="AM105" s="67"/>
    </row>
    <row r="106" spans="1:39" ht="27.6" customHeight="1" x14ac:dyDescent="0.25">
      <c r="A106" s="781" t="str">
        <f t="shared" ca="1" si="7"/>
        <v>Höhe versichertes Unfalltaggeld</v>
      </c>
      <c r="B106" s="350" t="str">
        <f ca="1">INDIRECT(ADDRESS(ROW()+N_Offset_B,COLUMN()+(N_SpracheAuswahl)*26,,,"Text"))</f>
        <v>Prozent vom Bruttolohn</v>
      </c>
      <c r="C106" s="761" t="str">
        <f>IF('  I  '!C119=0,"",'  I  '!C119)</f>
        <v/>
      </c>
      <c r="D106" s="124">
        <v>0.8</v>
      </c>
      <c r="F106" s="56">
        <f>IF(OR(C106=0,C106=""),D106,C106)</f>
        <v>0.8</v>
      </c>
      <c r="G106" s="56"/>
      <c r="H106" s="56"/>
      <c r="V106" s="67"/>
      <c r="W106" s="67"/>
      <c r="X106" s="67"/>
      <c r="Y106" s="67"/>
      <c r="Z106" s="67"/>
      <c r="AA106" s="67"/>
      <c r="AB106" s="67"/>
      <c r="AC106" s="67"/>
      <c r="AD106" s="67"/>
      <c r="AE106" s="67"/>
      <c r="AF106" s="67"/>
      <c r="AG106" s="67"/>
      <c r="AH106" s="67"/>
      <c r="AI106" s="67"/>
      <c r="AJ106" s="67"/>
      <c r="AK106" s="67"/>
      <c r="AL106" s="67"/>
      <c r="AM106" s="67"/>
    </row>
    <row r="107" spans="1:39" ht="27.6" customHeight="1" x14ac:dyDescent="0.25">
      <c r="A107" s="781" t="str">
        <f t="shared" ca="1" si="7"/>
        <v>Dauer Zahlung Unfalltaggeld</v>
      </c>
      <c r="B107" s="350" t="str">
        <f ca="1">INDIRECT(ADDRESS(ROW()+N_Offset_B,COLUMN()+(N_SpracheAuswahl)*26,,,"Text"))</f>
        <v>Tage</v>
      </c>
      <c r="C107" s="111" t="str">
        <f>IF('  I  '!C120=0,"",'  I  '!C120)</f>
        <v/>
      </c>
      <c r="D107" s="123">
        <v>730</v>
      </c>
      <c r="F107" s="56">
        <f>IF(OR(C107=0,C107=""),D107,C107)</f>
        <v>730</v>
      </c>
      <c r="G107" s="56"/>
      <c r="H107" s="56"/>
      <c r="V107" s="67"/>
      <c r="W107" s="67"/>
      <c r="X107" s="67"/>
      <c r="Y107" s="67"/>
      <c r="Z107" s="67"/>
      <c r="AA107" s="67"/>
      <c r="AB107" s="67"/>
      <c r="AC107" s="67"/>
      <c r="AD107" s="67"/>
      <c r="AE107" s="67"/>
      <c r="AF107" s="67"/>
      <c r="AG107" s="67"/>
      <c r="AH107" s="67"/>
      <c r="AI107" s="67"/>
      <c r="AJ107" s="67"/>
      <c r="AK107" s="67"/>
      <c r="AL107" s="67"/>
      <c r="AM107" s="67"/>
    </row>
    <row r="108" spans="1:39" x14ac:dyDescent="0.25">
      <c r="A108" s="132"/>
      <c r="B108" s="63"/>
      <c r="C108" s="133"/>
      <c r="D108" s="134"/>
      <c r="E108" s="63"/>
      <c r="F108" s="56"/>
      <c r="G108" s="56"/>
      <c r="H108" s="56"/>
      <c r="V108" s="67"/>
      <c r="W108" s="67"/>
      <c r="X108" s="67"/>
      <c r="Y108" s="67"/>
      <c r="Z108" s="67"/>
      <c r="AA108" s="67"/>
      <c r="AB108" s="67"/>
      <c r="AC108" s="67"/>
      <c r="AD108" s="67"/>
      <c r="AE108" s="67"/>
      <c r="AF108" s="67"/>
      <c r="AG108" s="67"/>
      <c r="AH108" s="67"/>
      <c r="AI108" s="67"/>
      <c r="AJ108" s="67"/>
      <c r="AK108" s="67"/>
      <c r="AL108" s="67"/>
      <c r="AM108" s="67"/>
    </row>
    <row r="109" spans="1:39" x14ac:dyDescent="0.25">
      <c r="A109" s="66" t="str">
        <f ca="1">INDIRECT(ADDRESS(ROW()+N_Offset_B,COLUMN()+(N_SpracheAuswahl)*26,,,"Text"))</f>
        <v>Regelung bei Abschluss einer Krankentaggeldversicherung</v>
      </c>
      <c r="B109" s="55"/>
      <c r="C109" s="95"/>
      <c r="D109" s="122"/>
      <c r="F109" s="56"/>
      <c r="G109" s="56"/>
      <c r="H109" s="56"/>
      <c r="V109" s="67"/>
      <c r="W109" s="67"/>
      <c r="X109" s="67"/>
      <c r="Y109" s="67"/>
      <c r="Z109" s="67"/>
      <c r="AA109" s="67"/>
      <c r="AB109" s="67"/>
      <c r="AC109" s="67"/>
      <c r="AD109" s="67"/>
      <c r="AE109" s="67"/>
      <c r="AF109" s="67"/>
      <c r="AG109" s="67"/>
      <c r="AH109" s="67"/>
      <c r="AI109" s="67"/>
      <c r="AJ109" s="67"/>
      <c r="AK109" s="67"/>
      <c r="AL109" s="67"/>
      <c r="AM109" s="67"/>
    </row>
    <row r="110" spans="1:39" ht="39.9" customHeight="1" x14ac:dyDescent="0.25">
      <c r="A110" s="781" t="str">
        <f ca="1">INDIRECT(ADDRESS(ROW()+N_Offset_B,COLUMN()+(N_SpracheAuswahl)*26,,,"Text"))</f>
        <v>Besteht eine Krankentaggeldversicherung?</v>
      </c>
      <c r="B110" s="512" t="str">
        <f ca="1">B_AuswahlSpalteC</f>
        <v>(Auswahl in Spalte C)</v>
      </c>
      <c r="C110" s="113" t="str">
        <f ca="1">IF('  I  '!C123=0,"",'  I  '!C123)</f>
        <v>Nein</v>
      </c>
      <c r="D110" s="126" t="str">
        <f ca="1">INDEX(L_JaNein,2,0)</f>
        <v>Nein</v>
      </c>
      <c r="F110" s="56">
        <f ca="1">IF(OR(C110=0,C110=""),VLOOKUP(D110,A_JaNein_Auswahl,2,0),VLOOKUP(C110,A_JaNein_Auswahl,2,0))</f>
        <v>2</v>
      </c>
      <c r="G110" s="87"/>
      <c r="H110" s="56"/>
      <c r="V110" s="67"/>
      <c r="W110" s="67"/>
      <c r="X110" s="67"/>
      <c r="Y110" s="67"/>
      <c r="Z110" s="67"/>
      <c r="AA110" s="67"/>
      <c r="AB110" s="67"/>
      <c r="AC110" s="67"/>
      <c r="AD110" s="67"/>
      <c r="AE110" s="67"/>
      <c r="AF110" s="67"/>
      <c r="AG110" s="67"/>
      <c r="AH110" s="67"/>
      <c r="AI110" s="67"/>
      <c r="AJ110" s="67"/>
      <c r="AK110" s="67"/>
      <c r="AL110" s="67"/>
      <c r="AM110" s="67"/>
    </row>
    <row r="111" spans="1:39" x14ac:dyDescent="0.25">
      <c r="A111" s="782" t="str">
        <f ca="1">IF(F$110=1,G111,"")</f>
        <v/>
      </c>
      <c r="B111" s="350" t="str">
        <f ca="1">IF(F$110=1,H111,"")</f>
        <v/>
      </c>
      <c r="C111" s="111" t="str">
        <f>IF('  I  '!C124=0,"",'  I  '!C124)</f>
        <v/>
      </c>
      <c r="D111" s="121"/>
      <c r="F111" s="56"/>
      <c r="G111" s="56" t="str">
        <f ca="1">INDIRECT(ADDRESS(ROW()+N_Offset_B,COLUMN()+(N_SpracheAuswahl)*26,,,"Text"))</f>
        <v>Dauer Wartefrist Krankentaggeld</v>
      </c>
      <c r="H111" s="56" t="str">
        <f ca="1">INDIRECT(ADDRESS(ROW()+N_Offset_B,COLUMN()+(N_SpracheAuswahl)*26,,,"Text"))</f>
        <v>Tage</v>
      </c>
      <c r="V111" s="67"/>
      <c r="W111" s="67"/>
      <c r="X111" s="67"/>
      <c r="Y111" s="67"/>
      <c r="Z111" s="67"/>
      <c r="AA111" s="67"/>
      <c r="AB111" s="67"/>
      <c r="AC111" s="67"/>
      <c r="AD111" s="67"/>
      <c r="AE111" s="67"/>
      <c r="AF111" s="67"/>
      <c r="AG111" s="67"/>
      <c r="AH111" s="67"/>
      <c r="AI111" s="67"/>
      <c r="AJ111" s="67"/>
      <c r="AK111" s="67"/>
      <c r="AL111" s="67"/>
      <c r="AM111" s="67"/>
    </row>
    <row r="112" spans="1:39" ht="27.6" customHeight="1" x14ac:dyDescent="0.25">
      <c r="A112" s="782" t="str">
        <f ca="1">IF(F$110=1,G112,"")</f>
        <v/>
      </c>
      <c r="B112" s="512" t="str">
        <f ca="1">B_AuswahlSpalteC</f>
        <v>(Auswahl in Spalte C)</v>
      </c>
      <c r="C112" s="836" t="str">
        <f>IF('  I  '!C125=0,"",'  I  '!C125)</f>
        <v/>
      </c>
      <c r="D112" s="127"/>
      <c r="F112" s="56"/>
      <c r="G112" s="56" t="str">
        <f ca="1">INDIRECT(ADDRESS(ROW()+N_Offset_B,COLUMN()+(N_SpracheAuswahl)*26,,,"Text"))</f>
        <v>Wartefrist beginnt neu je …</v>
      </c>
      <c r="H112" s="56"/>
      <c r="V112" s="67"/>
      <c r="W112" s="67"/>
      <c r="X112" s="67"/>
      <c r="Y112" s="67"/>
      <c r="Z112" s="67"/>
      <c r="AA112" s="67"/>
      <c r="AB112" s="67"/>
      <c r="AC112" s="67"/>
      <c r="AD112" s="67"/>
      <c r="AE112" s="67"/>
      <c r="AF112" s="67"/>
      <c r="AG112" s="67"/>
      <c r="AH112" s="67"/>
      <c r="AI112" s="67"/>
      <c r="AJ112" s="67"/>
      <c r="AK112" s="67"/>
      <c r="AL112" s="67"/>
      <c r="AM112" s="67"/>
    </row>
    <row r="113" spans="1:39" ht="27.6" customHeight="1" x14ac:dyDescent="0.25">
      <c r="A113" s="782" t="str">
        <f ca="1">IF(F$110=1,G113,"")</f>
        <v/>
      </c>
      <c r="B113" s="350" t="str">
        <f ca="1">IF(F$110=1,H113,"")</f>
        <v/>
      </c>
      <c r="C113" s="761" t="str">
        <f>IF('  I  '!C126=0,"",'  I  '!C126)</f>
        <v/>
      </c>
      <c r="D113" s="448" t="str">
        <f ca="1">INDIRECT(ADDRESS(ROW()+N_Offset_B,COLUMN()+(N_SpracheAuswahl)*26,,,"Text"))</f>
        <v>min.80%</v>
      </c>
      <c r="F113" s="268">
        <f ca="1">IF(F$110=1,IF(OR(ISBLANK(C113),C113=0,C113=""),1,C113),1)</f>
        <v>1</v>
      </c>
      <c r="G113" s="56" t="str">
        <f ca="1">INDIRECT(ADDRESS(ROW()+N_Offset_B,COLUMN()+(N_SpracheAuswahl)*26,,,"Text"))</f>
        <v>Höhe vereinbarter Lohn bei Krankheit</v>
      </c>
      <c r="H113" s="56" t="str">
        <f ca="1">INDIRECT(ADDRESS(ROW()+N_Offset_B,COLUMN()+(N_SpracheAuswahl)*26,,,"Text"))</f>
        <v>Prozent vom Bruttolohn</v>
      </c>
      <c r="V113" s="67"/>
      <c r="W113" s="67"/>
      <c r="X113" s="67"/>
      <c r="Y113" s="67"/>
      <c r="Z113" s="67"/>
      <c r="AA113" s="67"/>
      <c r="AB113" s="67"/>
      <c r="AC113" s="67"/>
      <c r="AD113" s="67"/>
      <c r="AE113" s="67"/>
      <c r="AF113" s="67"/>
      <c r="AG113" s="67"/>
      <c r="AH113" s="67"/>
      <c r="AI113" s="67"/>
      <c r="AJ113" s="67"/>
      <c r="AK113" s="67"/>
      <c r="AL113" s="67"/>
      <c r="AM113" s="67"/>
    </row>
    <row r="114" spans="1:39" ht="27.6" customHeight="1" x14ac:dyDescent="0.25">
      <c r="A114" s="93" t="str">
        <f ca="1">IF(F$110=1,G114,"")</f>
        <v/>
      </c>
      <c r="B114" s="350" t="str">
        <f ca="1">IF(F$110=1,H114,"")</f>
        <v/>
      </c>
      <c r="C114" s="761" t="str">
        <f>IF('  I  '!C127=0,"",'  I  '!C127)</f>
        <v/>
      </c>
      <c r="D114" s="121"/>
      <c r="F114" s="268">
        <f ca="1">IF(F$110=1,IF(OR(C114="",C114=0),0,C114),0)</f>
        <v>0</v>
      </c>
      <c r="G114" s="56" t="str">
        <f ca="1">INDIRECT(ADDRESS(ROW()+N_Offset_B,COLUMN()+(N_SpracheAuswahl)*26,,,"Text"))</f>
        <v>Höhe versichertes Krankentaggeld</v>
      </c>
      <c r="H114" s="56" t="str">
        <f ca="1">INDIRECT(ADDRESS(ROW()+N_Offset_B,COLUMN()+(N_SpracheAuswahl)*26,,,"Text"))</f>
        <v>Prozent vom Bruttolohn</v>
      </c>
      <c r="V114" s="67"/>
      <c r="W114" s="67"/>
      <c r="X114" s="67"/>
      <c r="Y114" s="67"/>
      <c r="Z114" s="67"/>
      <c r="AA114" s="67"/>
      <c r="AB114" s="67"/>
      <c r="AC114" s="67"/>
      <c r="AD114" s="67"/>
      <c r="AE114" s="67"/>
      <c r="AF114" s="67"/>
      <c r="AG114" s="67"/>
      <c r="AH114" s="67"/>
      <c r="AI114" s="67"/>
      <c r="AJ114" s="67"/>
      <c r="AK114" s="67"/>
      <c r="AL114" s="67"/>
      <c r="AM114" s="67"/>
    </row>
    <row r="115" spans="1:39" ht="27.6" customHeight="1" x14ac:dyDescent="0.25">
      <c r="A115" s="93" t="str">
        <f ca="1">IF(F$110=1,G115,"")</f>
        <v/>
      </c>
      <c r="B115" s="350" t="str">
        <f ca="1">IF(F$110=1,H115,"")</f>
        <v/>
      </c>
      <c r="C115" s="111" t="str">
        <f>IF('  I  '!C128=0,"",'  I  '!C128)</f>
        <v/>
      </c>
      <c r="D115" s="121"/>
      <c r="F115" s="56"/>
      <c r="G115" s="56" t="str">
        <f ca="1">INDIRECT(ADDRESS(ROW()+N_Offset_B,COLUMN()+(N_SpracheAuswahl)*26,,,"Text"))</f>
        <v>Dauer Zahlung Krankentaggeld</v>
      </c>
      <c r="H115" s="56" t="str">
        <f ca="1">INDIRECT(ADDRESS(ROW()+N_Offset_B,COLUMN()+(N_SpracheAuswahl)*26,,,"Text"))</f>
        <v>Tage</v>
      </c>
      <c r="V115" s="67"/>
      <c r="W115" s="67"/>
      <c r="X115" s="67"/>
      <c r="Y115" s="67"/>
      <c r="Z115" s="67"/>
      <c r="AA115" s="67"/>
      <c r="AB115" s="67"/>
      <c r="AC115" s="67"/>
      <c r="AD115" s="67"/>
      <c r="AE115" s="67"/>
      <c r="AF115" s="67"/>
      <c r="AG115" s="67"/>
      <c r="AH115" s="67"/>
      <c r="AI115" s="67"/>
      <c r="AJ115" s="67"/>
      <c r="AK115" s="67"/>
      <c r="AL115" s="67"/>
      <c r="AM115" s="67"/>
    </row>
    <row r="116" spans="1:39" x14ac:dyDescent="0.25">
      <c r="C116" s="95"/>
      <c r="D116" s="121"/>
      <c r="F116" s="56"/>
      <c r="G116" s="56"/>
      <c r="H116" s="56"/>
      <c r="V116" s="67"/>
      <c r="W116" s="67"/>
      <c r="X116" s="67"/>
      <c r="Y116" s="67"/>
      <c r="Z116" s="67"/>
      <c r="AA116" s="67"/>
      <c r="AB116" s="67"/>
      <c r="AC116" s="67"/>
      <c r="AD116" s="67"/>
      <c r="AE116" s="67"/>
      <c r="AF116" s="67"/>
      <c r="AG116" s="67"/>
      <c r="AH116" s="67"/>
      <c r="AI116" s="67"/>
      <c r="AJ116" s="67"/>
      <c r="AK116" s="67"/>
      <c r="AL116" s="67"/>
      <c r="AM116" s="67"/>
    </row>
    <row r="117" spans="1:39" x14ac:dyDescent="0.25">
      <c r="A117" s="66" t="str">
        <f ca="1">INDIRECT(ADDRESS(ROW()+N_Offset_B,COLUMN()+(N_SpracheAuswahl)*26,,,"Text"))</f>
        <v>Vereinbarung für den Fall, dass Assistenz wegen Heim / Spital nicht entgegengenommen werden kann (OR Art. 324)</v>
      </c>
      <c r="C117" s="95"/>
      <c r="D117" s="121"/>
      <c r="F117" s="56"/>
      <c r="G117" s="56"/>
      <c r="H117" s="56"/>
      <c r="V117" s="67"/>
      <c r="W117" s="67"/>
      <c r="X117" s="67"/>
      <c r="Y117" s="67"/>
      <c r="Z117" s="67"/>
      <c r="AA117" s="67"/>
      <c r="AB117" s="67"/>
      <c r="AC117" s="67"/>
      <c r="AD117" s="67"/>
      <c r="AE117" s="67"/>
      <c r="AF117" s="67"/>
      <c r="AG117" s="67"/>
      <c r="AH117" s="67"/>
      <c r="AI117" s="67"/>
      <c r="AJ117" s="67"/>
      <c r="AK117" s="67"/>
      <c r="AL117" s="67"/>
      <c r="AM117" s="67"/>
    </row>
    <row r="118" spans="1:39" ht="27.6" customHeight="1" x14ac:dyDescent="0.25">
      <c r="A118" s="72" t="str">
        <f ca="1">INDIRECT(ADDRESS(ROW()+N_Offset_B,COLUMN()+(N_SpracheAuswahl)*26,,,"Text"))</f>
        <v>Maximale Lohnfortzahlung</v>
      </c>
      <c r="B118" s="350" t="str">
        <f ca="1">INDIRECT(ADDRESS(ROW()+N_Offset_B,COLUMN()+(N_SpracheAuswahl)*26,,,"Text"))</f>
        <v>Monate pro Ereignis</v>
      </c>
      <c r="C118" s="108">
        <f>IF('  I  '!C131=0,"",'  I  '!C131)</f>
        <v>3</v>
      </c>
      <c r="D118" s="121"/>
      <c r="F118" s="87"/>
      <c r="G118" s="56"/>
      <c r="H118" s="56"/>
      <c r="V118" s="67"/>
      <c r="W118" s="67"/>
      <c r="X118" s="67"/>
      <c r="Y118" s="67"/>
      <c r="Z118" s="67"/>
      <c r="AA118" s="67"/>
      <c r="AB118" s="67"/>
      <c r="AC118" s="67"/>
      <c r="AD118" s="67"/>
      <c r="AE118" s="67"/>
      <c r="AF118" s="67"/>
      <c r="AG118" s="67"/>
      <c r="AH118" s="67"/>
      <c r="AI118" s="67"/>
      <c r="AJ118" s="67"/>
      <c r="AK118" s="67"/>
      <c r="AL118" s="67"/>
      <c r="AM118" s="67"/>
    </row>
    <row r="119" spans="1:39" x14ac:dyDescent="0.25">
      <c r="A119" s="516" t="str">
        <f ca="1">INDIRECT(ADDRESS(ROW()+N_Offset_B,COLUMN()+(N_SpracheAuswahl)*26,,,"Text"))</f>
        <v>Ende dieses Tabellenblattes</v>
      </c>
      <c r="F119" s="56"/>
      <c r="G119" s="56"/>
      <c r="H119" s="56"/>
      <c r="V119" s="67"/>
      <c r="W119" s="67"/>
      <c r="X119" s="67"/>
      <c r="Y119" s="67"/>
      <c r="Z119" s="67"/>
      <c r="AA119" s="67"/>
      <c r="AB119" s="67"/>
      <c r="AC119" s="67"/>
      <c r="AD119" s="67"/>
      <c r="AE119" s="67"/>
      <c r="AF119" s="67"/>
      <c r="AG119" s="67"/>
      <c r="AH119" s="67"/>
      <c r="AI119" s="67"/>
      <c r="AJ119" s="67"/>
      <c r="AK119" s="67"/>
      <c r="AL119" s="67"/>
      <c r="AM119" s="67"/>
    </row>
    <row r="120" spans="1:39" x14ac:dyDescent="0.25">
      <c r="V120" s="67"/>
      <c r="W120" s="67"/>
      <c r="X120" s="67"/>
      <c r="Y120" s="67"/>
      <c r="Z120" s="67"/>
      <c r="AA120" s="67"/>
      <c r="AB120" s="67"/>
      <c r="AC120" s="67"/>
      <c r="AD120" s="67"/>
      <c r="AE120" s="67"/>
      <c r="AF120" s="67"/>
      <c r="AG120" s="67"/>
      <c r="AH120" s="67"/>
      <c r="AI120" s="67"/>
      <c r="AJ120" s="67"/>
      <c r="AK120" s="67"/>
      <c r="AL120" s="67"/>
      <c r="AM120" s="67"/>
    </row>
    <row r="122" spans="1:39" x14ac:dyDescent="0.25">
      <c r="A122" s="595" t="str">
        <f>C35&amp;", "&amp;C34&amp;" - "&amp;C40</f>
        <v xml:space="preserve">,  - </v>
      </c>
    </row>
  </sheetData>
  <sheetProtection algorithmName="SHA-512" hashValue="grsac0HkrZeYzysHgTf5GHBjbCSHW9aiwQTj/kQkZqs+RILZzU0LhGC8OGm73/t9K1tzuZxSSDj7YO28wPvhNw==" saltValue="Ry1URTnnQ11tu6wyRgDdxQ==" spinCount="100000" sheet="1" objects="1" scenarios="1"/>
  <mergeCells count="2">
    <mergeCell ref="A13:B13"/>
    <mergeCell ref="A101:D101"/>
  </mergeCells>
  <phoneticPr fontId="0" type="noConversion"/>
  <conditionalFormatting sqref="A119">
    <cfRule type="expression" dxfId="707" priority="4" stopIfTrue="1">
      <formula>NOT(VLOOKUP($C$110,A_JaNein_Auswahl,2,0)=1)</formula>
    </cfRule>
  </conditionalFormatting>
  <conditionalFormatting sqref="A66:B66">
    <cfRule type="expression" dxfId="706" priority="3" stopIfTrue="1">
      <formula>NOT(VLOOKUP($C65,A_JaNein_Auswahl,2,0)=1)</formula>
    </cfRule>
  </conditionalFormatting>
  <conditionalFormatting sqref="A46:C46">
    <cfRule type="expression" dxfId="705" priority="6" stopIfTrue="1">
      <formula>NOT(N_AnstellungBefristetAuswahl=1)</formula>
    </cfRule>
  </conditionalFormatting>
  <conditionalFormatting sqref="A66:C66">
    <cfRule type="expression" dxfId="704" priority="2">
      <formula>NOT(VLOOKUP($C65,A_JaNein_Auswahl,2,0)=1)</formula>
    </cfRule>
  </conditionalFormatting>
  <conditionalFormatting sqref="A111:D115">
    <cfRule type="expression" dxfId="703" priority="12" stopIfTrue="1">
      <formula>NOT($F$110=1)</formula>
    </cfRule>
  </conditionalFormatting>
  <conditionalFormatting sqref="D62">
    <cfRule type="expression" dxfId="702" priority="11" stopIfTrue="1">
      <formula>NOT(N_LohnartAuswahl=2)</formula>
    </cfRule>
  </conditionalFormatting>
  <dataValidations count="17">
    <dataValidation type="list" allowBlank="1" showInputMessage="1" showErrorMessage="1" sqref="C84:C85 C110 C91 C65 C26 C29" xr:uid="{00000000-0002-0000-0100-000000000000}">
      <formula1>L_JaNein</formula1>
    </dataValidation>
    <dataValidation type="whole" allowBlank="1" showInputMessage="1" showErrorMessage="1" sqref="C108 C111 C115" xr:uid="{00000000-0002-0000-0100-000001000000}">
      <formula1>0</formula1>
      <formula2>1000</formula2>
    </dataValidation>
    <dataValidation type="decimal" allowBlank="1" showInputMessage="1" showErrorMessage="1" sqref="C106 C114" xr:uid="{00000000-0002-0000-0100-000002000000}">
      <formula1>0</formula1>
      <formula2>1</formula2>
    </dataValidation>
    <dataValidation type="list" allowBlank="1" showInputMessage="1" showErrorMessage="1" sqref="C98" xr:uid="{00000000-0002-0000-0100-000003000000}">
      <formula1>L_GekündigtVon</formula1>
    </dataValidation>
    <dataValidation type="list" allowBlank="1" showInputMessage="1" showErrorMessage="1" sqref="C96" xr:uid="{00000000-0002-0000-0100-000004000000}">
      <formula1>L_Kündigungsmöglichkeit</formula1>
    </dataValidation>
    <dataValidation type="list" allowBlank="1" showInputMessage="1" showErrorMessage="1" sqref="C112" xr:uid="{00000000-0002-0000-0100-000005000000}">
      <formula1>L_WartefristKTGJe</formula1>
    </dataValidation>
    <dataValidation type="decimal" allowBlank="1" showInputMessage="1" showErrorMessage="1" sqref="C105 C113" xr:uid="{00000000-0002-0000-0100-000006000000}">
      <formula1>0.8</formula1>
      <formula2>1</formula2>
    </dataValidation>
    <dataValidation type="list" allowBlank="1" showInputMessage="1" showErrorMessage="1" sqref="C63" xr:uid="{00000000-0002-0000-0100-000008000000}">
      <formula1>L_Ferien_ArtAuszahlung</formula1>
    </dataValidation>
    <dataValidation type="list" allowBlank="1" showInputMessage="1" showErrorMessage="1" sqref="C59" xr:uid="{00000000-0002-0000-0100-000009000000}">
      <formula1>L_Lohnart</formula1>
    </dataValidation>
    <dataValidation type="list" allowBlank="1" showInputMessage="1" showErrorMessage="1" sqref="C52" xr:uid="{00000000-0002-0000-0100-00000A000000}">
      <formula1>L_ArbeitszeitVereinbarung</formula1>
    </dataValidation>
    <dataValidation type="list" allowBlank="1" showInputMessage="1" showErrorMessage="1" sqref="C45" xr:uid="{00000000-0002-0000-0100-00000B000000}">
      <formula1>L_AnstellungBefristet</formula1>
    </dataValidation>
    <dataValidation type="list" allowBlank="1" showInputMessage="1" showErrorMessage="1" sqref="C28" xr:uid="{00000000-0002-0000-0100-00000D000000}">
      <formula1>L_NachtTarif</formula1>
    </dataValidation>
    <dataValidation type="whole" allowBlank="1" showInputMessage="1" showErrorMessage="1" sqref="C13" xr:uid="{00000000-0002-0000-0100-00000E000000}">
      <formula1>2012</formula1>
      <formula2>2999</formula2>
    </dataValidation>
    <dataValidation type="list" allowBlank="1" showInputMessage="1" showErrorMessage="1" sqref="C49" xr:uid="{00000000-0002-0000-0100-00000F000000}">
      <formula1>"0,1,2,3"</formula1>
    </dataValidation>
    <dataValidation type="whole" allowBlank="1" showInputMessage="1" showErrorMessage="1" sqref="C107" xr:uid="{00000000-0002-0000-0100-000010000000}">
      <formula1>720</formula1>
      <formula2>10000</formula2>
    </dataValidation>
    <dataValidation type="list" allowBlank="1" showInputMessage="1" showErrorMessage="1" sqref="C33" xr:uid="{70969268-BB52-4DD0-92A9-66FFFB40E4BF}">
      <formula1>L_Anrede</formula1>
    </dataValidation>
    <dataValidation type="list" showInputMessage="1" showErrorMessage="1" sqref="C66" xr:uid="{D53D83F4-6042-4047-AC07-CB17EC0A4033}">
      <formula1>L_Auszahlung_13</formula1>
    </dataValidation>
  </dataValidations>
  <hyperlinks>
    <hyperlink ref="A14" location="Linkziel_Kündigung" display="Linkziel_Kündigung" xr:uid="{00000000-0004-0000-0100-000000000000}"/>
    <hyperlink ref="D1" location="Intro!A22" display="zurück zum Intro" xr:uid="{00000000-0004-0000-0100-000001000000}"/>
  </hyperlinks>
  <printOptions horizontalCentered="1"/>
  <pageMargins left="0.51181102362204722" right="0.19685039370078741" top="0.98425196850393704" bottom="0.78740157480314965" header="0.70866141732283472" footer="0.51181102362204722"/>
  <pageSetup paperSize="9" scale="80" fitToHeight="0" orientation="portrait" r:id="rId1"/>
  <headerFooter alignWithMargins="0">
    <oddFooter>&amp;L&amp;8 LAM © Assistenzbüro ABü 2022 - V2.0
&amp;R&amp;8&amp;P/&amp;N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theme="0" tint="-0.34998626667073579"/>
    <outlinePr showOutlineSymbols="0"/>
    <pageSetUpPr fitToPage="1"/>
  </sheetPr>
  <dimension ref="A1:E109"/>
  <sheetViews>
    <sheetView showOutlineSymbols="0" workbookViewId="0">
      <selection activeCell="A212" sqref="A212:J212"/>
    </sheetView>
  </sheetViews>
  <sheetFormatPr baseColWidth="10" defaultColWidth="11.33203125" defaultRowHeight="13.2" outlineLevelRow="1" outlineLevelCol="1" x14ac:dyDescent="0.25"/>
  <cols>
    <col min="1" max="1" width="1.6640625" style="1" customWidth="1"/>
    <col min="2" max="2" width="42.33203125" style="1" customWidth="1"/>
    <col min="3" max="3" width="30.6640625" style="1" hidden="1" customWidth="1" outlineLevel="1"/>
    <col min="4" max="4" width="20.6640625" style="1" customWidth="1" collapsed="1"/>
    <col min="5" max="5" width="20.6640625" style="1" customWidth="1"/>
    <col min="6" max="16384" width="11.33203125" style="1"/>
  </cols>
  <sheetData>
    <row r="1" spans="1:5" x14ac:dyDescent="0.25">
      <c r="A1" s="767" t="str">
        <f ca="1">INDIRECT(ADDRESS(ROW()+N_Offset_Kontrolldaten,COLUMN()+(N_SpracheAuswahl)*26,,,"Text"))</f>
        <v>Kontrolldaten vom Tabellenblatt "B" (sind nicht ins ASTeK einzutragen)</v>
      </c>
    </row>
    <row r="2" spans="1:5" x14ac:dyDescent="0.25">
      <c r="A2" s="705" t="str">
        <f ca="1">INDIRECT(ADDRESS(ROW()+N_Offset_Kontrolldaten,COLUMN()+(N_SpracheAuswahl)*26,,,"Text"))</f>
        <v>Diese Daten hier können hier nicht verändert werden!</v>
      </c>
    </row>
    <row r="4" spans="1:5" hidden="1" outlineLevel="1" x14ac:dyDescent="0.25">
      <c r="B4" s="64" t="str">
        <f t="shared" ref="B4:B35" ca="1" si="0">INDIRECT(ADDRESS(ROW()+N_Offset_Kontrolldaten,COLUMN()+(N_SpracheAuswahl)*26,,,"Text"))</f>
        <v>Falls bereits ein LAM für die Assistenzperson geführt wurde, zuerst Eingaben im Blatt "Import" machen</v>
      </c>
      <c r="C4" s="85">
        <f>'  B  '!B12</f>
        <v>0</v>
      </c>
      <c r="D4" s="86">
        <f>'  B  '!C12</f>
        <v>0</v>
      </c>
      <c r="E4" s="85">
        <f>'  B  '!D12</f>
        <v>0</v>
      </c>
    </row>
    <row r="5" spans="1:5" ht="15.75" hidden="1" customHeight="1" outlineLevel="1" x14ac:dyDescent="0.25">
      <c r="B5" s="704" t="str">
        <f t="shared" ca="1" si="0"/>
        <v>Geben Sie in Spalte C das Jahr der Lohnabrechnung ein:</v>
      </c>
      <c r="C5" s="704">
        <f>'  B  '!B13</f>
        <v>0</v>
      </c>
      <c r="D5" s="706">
        <f>'  B  '!C13</f>
        <v>2024</v>
      </c>
      <c r="E5" s="62">
        <f>'  B  '!D13</f>
        <v>0</v>
      </c>
    </row>
    <row r="6" spans="1:5" hidden="1" outlineLevel="1" x14ac:dyDescent="0.25">
      <c r="B6" s="707" t="str">
        <f t="shared" ca="1" si="0"/>
        <v>Falls in diesem Jahr das Arbeitsverhältnis beendet wird, Eingabe in Zeile 95</v>
      </c>
      <c r="C6" s="87">
        <f>'  B  '!B14</f>
        <v>0</v>
      </c>
      <c r="D6" s="87">
        <f>'  B  '!C14</f>
        <v>0</v>
      </c>
      <c r="E6" s="87">
        <f>'  B  '!D14</f>
        <v>0</v>
      </c>
    </row>
    <row r="7" spans="1:5" hidden="1" outlineLevel="1" x14ac:dyDescent="0.25">
      <c r="B7" s="708">
        <f t="shared" ca="1" si="0"/>
        <v>0</v>
      </c>
      <c r="C7" s="85">
        <f>'  B  '!B15</f>
        <v>0</v>
      </c>
      <c r="D7" s="86">
        <f>'  B  '!C15</f>
        <v>0</v>
      </c>
      <c r="E7" s="85">
        <f>'  B  '!D15</f>
        <v>0</v>
      </c>
    </row>
    <row r="8" spans="1:5" hidden="1" outlineLevel="1" x14ac:dyDescent="0.25">
      <c r="B8" s="405" t="str">
        <f t="shared" ca="1" si="0"/>
        <v>Text</v>
      </c>
      <c r="C8" s="518" t="str">
        <f ca="1">'  B  '!B16</f>
        <v>Erläuterungen</v>
      </c>
      <c r="D8" s="405" t="str">
        <f ca="1">'  B  '!C16</f>
        <v>Eingabe</v>
      </c>
      <c r="E8" s="518" t="str">
        <f ca="1">'  B  '!D16</f>
        <v>Kommentar</v>
      </c>
    </row>
    <row r="9" spans="1:5" hidden="1" outlineLevel="1" x14ac:dyDescent="0.25">
      <c r="B9" s="64">
        <f t="shared" ca="1" si="0"/>
        <v>0</v>
      </c>
      <c r="C9" s="65">
        <f>'  B  '!B17</f>
        <v>0</v>
      </c>
      <c r="D9" s="64">
        <f>'  B  '!C17</f>
        <v>0</v>
      </c>
      <c r="E9" s="65">
        <f>'  B  '!D17</f>
        <v>0</v>
      </c>
    </row>
    <row r="10" spans="1:5" ht="15.6" hidden="1" outlineLevel="1" x14ac:dyDescent="0.25">
      <c r="B10" s="418" t="str">
        <f t="shared" ca="1" si="0"/>
        <v>Angaben zum Arbeitgeber / zur Arbeitgeberin</v>
      </c>
      <c r="C10" s="386">
        <f>'  B  '!B18</f>
        <v>0</v>
      </c>
      <c r="D10" s="387">
        <f>'  B  '!C18</f>
        <v>0</v>
      </c>
      <c r="E10" s="386">
        <f>'  B  '!D18</f>
        <v>0</v>
      </c>
    </row>
    <row r="11" spans="1:5" hidden="1" outlineLevel="1" x14ac:dyDescent="0.25">
      <c r="B11" s="709" t="str">
        <f t="shared" ca="1" si="0"/>
        <v>Vorname</v>
      </c>
      <c r="C11" s="702">
        <f>'  B  '!B19</f>
        <v>0</v>
      </c>
      <c r="D11" s="68" t="str">
        <f>'  B  '!C19</f>
        <v/>
      </c>
      <c r="E11" s="62">
        <f>'  B  '!D19</f>
        <v>0</v>
      </c>
    </row>
    <row r="12" spans="1:5" hidden="1" outlineLevel="1" x14ac:dyDescent="0.25">
      <c r="B12" s="709" t="str">
        <f t="shared" ca="1" si="0"/>
        <v>Name</v>
      </c>
      <c r="C12" s="702">
        <f>'  B  '!B20</f>
        <v>0</v>
      </c>
      <c r="D12" s="68" t="str">
        <f>'  B  '!C20</f>
        <v/>
      </c>
      <c r="E12" s="62">
        <f>'  B  '!D20</f>
        <v>0</v>
      </c>
    </row>
    <row r="13" spans="1:5" hidden="1" outlineLevel="1" x14ac:dyDescent="0.25">
      <c r="B13" s="709" t="str">
        <f t="shared" ca="1" si="0"/>
        <v>Adresse</v>
      </c>
      <c r="C13" s="702">
        <f>'  B  '!B21</f>
        <v>0</v>
      </c>
      <c r="D13" s="68" t="str">
        <f>'  B  '!C21</f>
        <v/>
      </c>
      <c r="E13" s="62">
        <f>'  B  '!D21</f>
        <v>0</v>
      </c>
    </row>
    <row r="14" spans="1:5" hidden="1" outlineLevel="1" x14ac:dyDescent="0.25">
      <c r="B14" s="709" t="str">
        <f t="shared" ca="1" si="0"/>
        <v>Adresszusatz</v>
      </c>
      <c r="C14" s="702">
        <f>'  B  '!B22</f>
        <v>0</v>
      </c>
      <c r="D14" s="68" t="str">
        <f>'  B  '!C22</f>
        <v/>
      </c>
      <c r="E14" s="62">
        <f>'  B  '!D22</f>
        <v>0</v>
      </c>
    </row>
    <row r="15" spans="1:5" hidden="1" outlineLevel="1" x14ac:dyDescent="0.25">
      <c r="B15" s="709" t="str">
        <f t="shared" ca="1" si="0"/>
        <v>PLZ</v>
      </c>
      <c r="C15" s="702">
        <f>'  B  '!B23</f>
        <v>0</v>
      </c>
      <c r="D15" s="68" t="str">
        <f>'  B  '!C23</f>
        <v/>
      </c>
      <c r="E15" s="62">
        <f>'  B  '!D23</f>
        <v>0</v>
      </c>
    </row>
    <row r="16" spans="1:5" hidden="1" outlineLevel="1" x14ac:dyDescent="0.25">
      <c r="B16" s="709" t="str">
        <f t="shared" ca="1" si="0"/>
        <v>Ort</v>
      </c>
      <c r="C16" s="702">
        <f>'  B  '!B24</f>
        <v>0</v>
      </c>
      <c r="D16" s="68" t="str">
        <f>'  B  '!C24</f>
        <v/>
      </c>
      <c r="E16" s="62">
        <f>'  B  '!D24</f>
        <v>0</v>
      </c>
    </row>
    <row r="17" spans="2:5" hidden="1" outlineLevel="1" x14ac:dyDescent="0.25">
      <c r="B17" s="703">
        <f t="shared" ca="1" si="0"/>
        <v>0</v>
      </c>
      <c r="C17" s="702">
        <f>'  B  '!B25</f>
        <v>0</v>
      </c>
      <c r="D17" s="55">
        <f>'  B  '!C25</f>
        <v>0</v>
      </c>
      <c r="E17" s="62">
        <f>'  B  '!D25</f>
        <v>0</v>
      </c>
    </row>
    <row r="18" spans="2:5" hidden="1" outlineLevel="1" x14ac:dyDescent="0.25">
      <c r="B18" s="703" t="str">
        <f t="shared" ca="1" si="0"/>
        <v>Nehmen Sie am Assistenzbeitrag der IV teil?</v>
      </c>
      <c r="C18" s="702">
        <f>'  B  '!B26</f>
        <v>0</v>
      </c>
      <c r="D18" s="99">
        <f>'  B  '!C26</f>
        <v>0</v>
      </c>
      <c r="E18" s="62">
        <f>'  B  '!D26</f>
        <v>0</v>
      </c>
    </row>
    <row r="19" spans="2:5" hidden="1" outlineLevel="1" x14ac:dyDescent="0.25">
      <c r="B19" s="703" t="str">
        <f t="shared" ca="1" si="0"/>
        <v>Verfügung ausgestellt im Jahr</v>
      </c>
      <c r="C19" s="702">
        <f>'  B  '!B27</f>
        <v>0</v>
      </c>
      <c r="D19" s="692" t="str">
        <f>'  B  '!C27</f>
        <v/>
      </c>
      <c r="E19" s="62">
        <f>'  B  '!D27</f>
        <v>0</v>
      </c>
    </row>
    <row r="20" spans="2:5" ht="40.799999999999997" hidden="1" outlineLevel="1" x14ac:dyDescent="0.25">
      <c r="B20" s="703" t="str">
        <f t="shared" ca="1" si="0"/>
        <v>Ansatz für die Nacht</v>
      </c>
      <c r="C20" s="710" t="str">
        <f ca="1">'  B  '!B28</f>
        <v>wählen Sie in Spalte C den aktuell gültigen Ansatz aus</v>
      </c>
      <c r="D20" s="99">
        <f>'  B  '!C28</f>
        <v>0</v>
      </c>
      <c r="E20" s="592" t="str">
        <f ca="1">'  B  '!D28</f>
        <v>Hinweis: falls die Ansätze wegen Teuerungsanpassung nicht mehr gültig sind, neue Version LAM beschaffen</v>
      </c>
    </row>
    <row r="21" spans="2:5" ht="26.4" hidden="1" outlineLevel="1" x14ac:dyDescent="0.25">
      <c r="B21" s="702" t="str">
        <f t="shared" ca="1" si="0"/>
        <v>Nehmen Sie an einem kantonalen Assistenzbudget teil?</v>
      </c>
      <c r="C21" s="711" t="str">
        <f ca="1">'  B  '!B29</f>
        <v>(Auswahl in Spalte C)</v>
      </c>
      <c r="D21" s="99" t="str">
        <f>'  B  '!C29</f>
        <v>Ja</v>
      </c>
      <c r="E21" s="65">
        <f>'  B  '!D29</f>
        <v>0</v>
      </c>
    </row>
    <row r="22" spans="2:5" hidden="1" outlineLevel="1" x14ac:dyDescent="0.25">
      <c r="B22" s="55">
        <f t="shared" ca="1" si="0"/>
        <v>0</v>
      </c>
      <c r="C22" s="62">
        <f>'  B  '!B30</f>
        <v>0</v>
      </c>
      <c r="D22" s="55">
        <f>'  B  '!C30</f>
        <v>0</v>
      </c>
      <c r="E22" s="62">
        <f>'  B  '!D30</f>
        <v>0</v>
      </c>
    </row>
    <row r="23" spans="2:5" ht="15.6" hidden="1" outlineLevel="1" x14ac:dyDescent="0.25">
      <c r="B23" s="418" t="str">
        <f t="shared" ca="1" si="0"/>
        <v>Angaben aus dem Arbeitsvertrag</v>
      </c>
      <c r="C23" s="386">
        <f>'  B  '!B31</f>
        <v>0</v>
      </c>
      <c r="D23" s="387">
        <f>'  B  '!C31</f>
        <v>0</v>
      </c>
      <c r="E23" s="386">
        <f>'  B  '!D31</f>
        <v>0</v>
      </c>
    </row>
    <row r="24" spans="2:5" hidden="1" outlineLevel="1" x14ac:dyDescent="0.25">
      <c r="B24" s="75" t="str">
        <f t="shared" ca="1" si="0"/>
        <v>1. Personalien der Assistenzperson</v>
      </c>
      <c r="C24" s="76">
        <f>'  B  '!B32</f>
        <v>0</v>
      </c>
      <c r="D24" s="77">
        <f>'  B  '!C32</f>
        <v>0</v>
      </c>
      <c r="E24" s="76">
        <f>'  B  '!D32</f>
        <v>0</v>
      </c>
    </row>
    <row r="25" spans="2:5" hidden="1" outlineLevel="1" x14ac:dyDescent="0.25">
      <c r="B25" s="712" t="str">
        <f t="shared" ca="1" si="0"/>
        <v>Anrede</v>
      </c>
      <c r="C25" s="711" t="str">
        <f ca="1">'  B  '!B33</f>
        <v>(Auswahl in Spalte C)</v>
      </c>
      <c r="D25" s="83" t="str">
        <f>'  B  '!C33</f>
        <v/>
      </c>
      <c r="E25" s="62">
        <f>'  B  '!D33</f>
        <v>0</v>
      </c>
    </row>
    <row r="26" spans="2:5" hidden="1" outlineLevel="1" x14ac:dyDescent="0.25">
      <c r="B26" s="709" t="str">
        <f t="shared" ca="1" si="0"/>
        <v>Vorname</v>
      </c>
      <c r="C26" s="702">
        <f>'  B  '!B34</f>
        <v>0</v>
      </c>
      <c r="D26" s="82" t="str">
        <f>'  B  '!C34</f>
        <v/>
      </c>
      <c r="E26" s="62">
        <f>'  B  '!D34</f>
        <v>0</v>
      </c>
    </row>
    <row r="27" spans="2:5" hidden="1" outlineLevel="1" x14ac:dyDescent="0.25">
      <c r="B27" s="709" t="str">
        <f t="shared" ca="1" si="0"/>
        <v>Name</v>
      </c>
      <c r="C27" s="702">
        <f>'  B  '!B35</f>
        <v>0</v>
      </c>
      <c r="D27" s="68" t="str">
        <f>'  B  '!C35</f>
        <v/>
      </c>
      <c r="E27" s="62">
        <f>'  B  '!D35</f>
        <v>0</v>
      </c>
    </row>
    <row r="28" spans="2:5" hidden="1" outlineLevel="1" x14ac:dyDescent="0.25">
      <c r="B28" s="709" t="str">
        <f t="shared" ca="1" si="0"/>
        <v>Adresse</v>
      </c>
      <c r="C28" s="702">
        <f>'  B  '!B36</f>
        <v>0</v>
      </c>
      <c r="D28" s="68" t="str">
        <f>'  B  '!C36</f>
        <v/>
      </c>
      <c r="E28" s="62">
        <f>'  B  '!D36</f>
        <v>0</v>
      </c>
    </row>
    <row r="29" spans="2:5" hidden="1" outlineLevel="1" x14ac:dyDescent="0.25">
      <c r="B29" s="709" t="str">
        <f t="shared" ca="1" si="0"/>
        <v>Adresszusatz</v>
      </c>
      <c r="C29" s="702">
        <f>'  B  '!B37</f>
        <v>0</v>
      </c>
      <c r="D29" s="68" t="str">
        <f>'  B  '!C37</f>
        <v/>
      </c>
      <c r="E29" s="62">
        <f>'  B  '!D37</f>
        <v>0</v>
      </c>
    </row>
    <row r="30" spans="2:5" hidden="1" outlineLevel="1" x14ac:dyDescent="0.25">
      <c r="B30" s="709" t="str">
        <f t="shared" ca="1" si="0"/>
        <v>PLZ</v>
      </c>
      <c r="C30" s="702">
        <f>'  B  '!B38</f>
        <v>0</v>
      </c>
      <c r="D30" s="68" t="str">
        <f>'  B  '!C38</f>
        <v/>
      </c>
      <c r="E30" s="62">
        <f>'  B  '!D38</f>
        <v>0</v>
      </c>
    </row>
    <row r="31" spans="2:5" hidden="1" outlineLevel="1" x14ac:dyDescent="0.25">
      <c r="B31" s="709" t="str">
        <f t="shared" ca="1" si="0"/>
        <v>Ort</v>
      </c>
      <c r="C31" s="702">
        <f>'  B  '!B39</f>
        <v>0</v>
      </c>
      <c r="D31" s="68" t="str">
        <f>'  B  '!C39</f>
        <v/>
      </c>
      <c r="E31" s="62">
        <f>'  B  '!D39</f>
        <v>0</v>
      </c>
    </row>
    <row r="32" spans="2:5" hidden="1" outlineLevel="1" x14ac:dyDescent="0.25">
      <c r="B32" s="709" t="str">
        <f t="shared" ca="1" si="0"/>
        <v>Versichertennummer (AHV-Nr.)</v>
      </c>
      <c r="C32" s="702">
        <f>'  B  '!B40</f>
        <v>0</v>
      </c>
      <c r="D32" s="713" t="str">
        <f>'  B  '!C40</f>
        <v/>
      </c>
      <c r="E32" s="62">
        <f>'  B  '!D40</f>
        <v>0</v>
      </c>
    </row>
    <row r="33" spans="2:5" collapsed="1" x14ac:dyDescent="0.25">
      <c r="B33" s="709" t="str">
        <f t="shared" ca="1" si="0"/>
        <v>Geburtsdatum</v>
      </c>
      <c r="C33" s="702">
        <f>'  B  '!B41</f>
        <v>0</v>
      </c>
      <c r="D33" s="993">
        <f>'  B  '!C41</f>
        <v>0</v>
      </c>
      <c r="E33" s="993"/>
    </row>
    <row r="34" spans="2:5" hidden="1" outlineLevel="1" x14ac:dyDescent="0.25">
      <c r="B34" s="55">
        <f t="shared" ca="1" si="0"/>
        <v>0</v>
      </c>
      <c r="C34" s="62">
        <f>'  B  '!B42</f>
        <v>0</v>
      </c>
      <c r="D34" s="714">
        <f>'  B  '!C42</f>
        <v>0</v>
      </c>
      <c r="E34" s="715"/>
    </row>
    <row r="35" spans="2:5" hidden="1" outlineLevel="1" x14ac:dyDescent="0.25">
      <c r="B35" s="75" t="str">
        <f t="shared" ca="1" si="0"/>
        <v>2. Stellenantritt und Dauer des Arbeitsverhältnisses (Abschnitt 2 des Musterarbeitsvertrages)</v>
      </c>
      <c r="C35" s="76">
        <f>'  B  '!B43</f>
        <v>0</v>
      </c>
      <c r="D35" s="716">
        <f>'  B  '!C43</f>
        <v>0</v>
      </c>
      <c r="E35" s="717"/>
    </row>
    <row r="36" spans="2:5" collapsed="1" x14ac:dyDescent="0.25">
      <c r="B36" s="709" t="str">
        <f t="shared" ref="B36:B67" ca="1" si="1">INDIRECT(ADDRESS(ROW()+N_Offset_Kontrolldaten,COLUMN()+(N_SpracheAuswahl)*26,,,"Text"))</f>
        <v>Beginn Arbeitsverhältnis</v>
      </c>
      <c r="C36" s="718" t="str">
        <f ca="1">'  B  '!B44</f>
        <v>Geben Sie in Spalte C das Datum ein, ab wann das Arbeitsverhältnis gemäss Arbeitsvertrag besteht</v>
      </c>
      <c r="D36" s="994">
        <f>'  B  '!C44</f>
        <v>0</v>
      </c>
      <c r="E36" s="994"/>
    </row>
    <row r="37" spans="2:5" hidden="1" outlineLevel="1" x14ac:dyDescent="0.25">
      <c r="B37" s="709" t="str">
        <f t="shared" ca="1" si="1"/>
        <v>Art des Arbeitsverhältnisses</v>
      </c>
      <c r="C37" s="719" t="str">
        <f ca="1">'  B  '!B45</f>
        <v>(Auswahl in Spalte C)</v>
      </c>
      <c r="D37" s="720" t="str">
        <f ca="1">'  B  '!C45</f>
        <v>unbefristet</v>
      </c>
      <c r="E37" s="715"/>
    </row>
    <row r="38" spans="2:5" hidden="1" outlineLevel="1" x14ac:dyDescent="0.25">
      <c r="B38" s="709" t="str">
        <f t="shared" ca="1" si="1"/>
        <v/>
      </c>
      <c r="C38" s="721">
        <f>'  B  '!B46</f>
        <v>0</v>
      </c>
      <c r="D38" s="722">
        <f>'  B  '!C46</f>
        <v>0</v>
      </c>
      <c r="E38" s="715"/>
    </row>
    <row r="39" spans="2:5" hidden="1" outlineLevel="1" x14ac:dyDescent="0.25">
      <c r="B39" s="55">
        <f t="shared" ca="1" si="1"/>
        <v>0</v>
      </c>
      <c r="C39" s="62">
        <f>'  B  '!B47</f>
        <v>0</v>
      </c>
      <c r="D39" s="714">
        <f>'  B  '!C47</f>
        <v>0</v>
      </c>
      <c r="E39" s="715"/>
    </row>
    <row r="40" spans="2:5" hidden="1" outlineLevel="1" x14ac:dyDescent="0.25">
      <c r="B40" s="75" t="str">
        <f t="shared" ca="1" si="1"/>
        <v>3. Probezeit (Abschnitt 3 des Musterarbeitsvertrages)</v>
      </c>
      <c r="C40" s="76">
        <f>'  B  '!B48</f>
        <v>0</v>
      </c>
      <c r="D40" s="716">
        <f>'  B  '!C48</f>
        <v>0</v>
      </c>
      <c r="E40" s="717"/>
    </row>
    <row r="41" spans="2:5" hidden="1" outlineLevel="1" x14ac:dyDescent="0.25">
      <c r="B41" s="723" t="str">
        <f t="shared" ca="1" si="1"/>
        <v>Dauer der Probezeit</v>
      </c>
      <c r="C41" s="724" t="str">
        <f ca="1">'  B  '!B49</f>
        <v>in Monaten</v>
      </c>
      <c r="D41" s="725">
        <f>'  B  '!C49</f>
        <v>2</v>
      </c>
      <c r="E41" s="726"/>
    </row>
    <row r="42" spans="2:5" hidden="1" outlineLevel="1" x14ac:dyDescent="0.25">
      <c r="B42" s="55">
        <f t="shared" ca="1" si="1"/>
        <v>0</v>
      </c>
      <c r="C42" s="62">
        <f>'  B  '!B50</f>
        <v>0</v>
      </c>
      <c r="D42" s="714">
        <f>'  B  '!C50</f>
        <v>0</v>
      </c>
      <c r="E42" s="715"/>
    </row>
    <row r="43" spans="2:5" hidden="1" outlineLevel="1" x14ac:dyDescent="0.25">
      <c r="B43" s="75" t="str">
        <f t="shared" ca="1" si="1"/>
        <v>4. Arbeitszeit (Abschnitt 4 des Musterarbeitsvertrages)</v>
      </c>
      <c r="C43" s="76">
        <f>'  B  '!B51</f>
        <v>0</v>
      </c>
      <c r="D43" s="716">
        <f>'  B  '!C51</f>
        <v>0</v>
      </c>
      <c r="E43" s="717"/>
    </row>
    <row r="44" spans="2:5" hidden="1" outlineLevel="1" x14ac:dyDescent="0.25">
      <c r="B44" s="727" t="str">
        <f t="shared" ca="1" si="1"/>
        <v>Wie haben Sie die Arbeitszeit vereinbart?</v>
      </c>
      <c r="C44" s="728" t="str">
        <f ca="1">'  B  '!B52</f>
        <v>(Auswahl in Spalte C)</v>
      </c>
      <c r="D44" s="729" t="str">
        <f ca="1">'  B  '!C52</f>
        <v>Stunden pro Woche</v>
      </c>
      <c r="E44" s="715"/>
    </row>
    <row r="45" spans="2:5" hidden="1" outlineLevel="1" x14ac:dyDescent="0.25">
      <c r="B45" s="730" t="str">
        <f t="shared" ca="1" si="1"/>
        <v>Vereinbarte Arbeitszeit</v>
      </c>
      <c r="C45" s="731" t="str">
        <f ca="1">'  B  '!B53</f>
        <v>Stunden pro Woche</v>
      </c>
      <c r="D45" s="732">
        <f>'  B  '!C53</f>
        <v>0</v>
      </c>
      <c r="E45" s="733"/>
    </row>
    <row r="46" spans="2:5" collapsed="1" x14ac:dyDescent="0.25">
      <c r="B46" s="730" t="str">
        <f t="shared" ca="1" si="1"/>
        <v>Berechnetes Pensum:</v>
      </c>
      <c r="C46" s="734">
        <f>'  B  '!B54</f>
        <v>0</v>
      </c>
      <c r="D46" s="995">
        <f ca="1">'  B  '!C54</f>
        <v>0</v>
      </c>
      <c r="E46" s="996"/>
    </row>
    <row r="47" spans="2:5" hidden="1" outlineLevel="1" x14ac:dyDescent="0.25">
      <c r="B47" s="55">
        <f t="shared" ca="1" si="1"/>
        <v>0</v>
      </c>
      <c r="C47" s="62">
        <f>'  B  '!B55</f>
        <v>0</v>
      </c>
      <c r="D47" s="714">
        <f>'  B  '!C55</f>
        <v>0</v>
      </c>
      <c r="E47" s="715"/>
    </row>
    <row r="48" spans="2:5" hidden="1" outlineLevel="1" x14ac:dyDescent="0.25">
      <c r="B48" s="75" t="str">
        <f t="shared" ca="1" si="1"/>
        <v>5. Lohn (Abschnitt 7 des Musterarbeitsvertrages)</v>
      </c>
      <c r="C48" s="76">
        <f>'  B  '!B56</f>
        <v>0</v>
      </c>
      <c r="D48" s="716">
        <f>'  B  '!C56</f>
        <v>0</v>
      </c>
      <c r="E48" s="717"/>
    </row>
    <row r="49" spans="2:5" collapsed="1" x14ac:dyDescent="0.25">
      <c r="B49" s="730" t="str">
        <f t="shared" ca="1" si="1"/>
        <v>Lohnart</v>
      </c>
      <c r="C49" s="728" t="str">
        <f ca="1">'  B  '!B59</f>
        <v>(Auswahl in Spalte C)</v>
      </c>
      <c r="D49" s="991" t="str">
        <f ca="1">'  B  '!C59</f>
        <v>Monatslohn</v>
      </c>
      <c r="E49" s="991"/>
    </row>
    <row r="50" spans="2:5" x14ac:dyDescent="0.25">
      <c r="B50" s="730" t="str">
        <f t="shared" ca="1" si="1"/>
        <v>Bruttolohn</v>
      </c>
      <c r="C50" s="735" t="str">
        <f ca="1">'  B  '!B60</f>
        <v>Franken pro Monat</v>
      </c>
      <c r="D50" s="997">
        <f>'  B  '!C60</f>
        <v>0</v>
      </c>
      <c r="E50" s="997"/>
    </row>
    <row r="51" spans="2:5" hidden="1" outlineLevel="1" x14ac:dyDescent="0.25">
      <c r="B51" s="730" t="str">
        <f t="shared" ca="1" si="1"/>
        <v/>
      </c>
      <c r="C51" s="736" t="str">
        <f>'  B  '!B61</f>
        <v xml:space="preserve"> </v>
      </c>
      <c r="D51" s="737">
        <f>'  B  '!C61</f>
        <v>0</v>
      </c>
      <c r="E51" s="738"/>
    </row>
    <row r="52" spans="2:5" collapsed="1" x14ac:dyDescent="0.25">
      <c r="B52" s="727" t="str">
        <f t="shared" ca="1" si="1"/>
        <v/>
      </c>
      <c r="C52" s="734">
        <f>'  B  '!B62</f>
        <v>0</v>
      </c>
      <c r="D52" s="998">
        <f ca="1">'  B  '!C62</f>
        <v>0</v>
      </c>
      <c r="E52" s="999"/>
    </row>
    <row r="53" spans="2:5" x14ac:dyDescent="0.25">
      <c r="B53" s="739" t="str">
        <f t="shared" ca="1" si="1"/>
        <v/>
      </c>
      <c r="C53" s="740" t="str">
        <f ca="1">'  B  '!B63</f>
        <v/>
      </c>
      <c r="D53" s="990" t="str">
        <f ca="1">'  B  '!C63</f>
        <v>Zuschlag pro geleistete Arbeitsstunde</v>
      </c>
      <c r="E53" s="991"/>
    </row>
    <row r="54" spans="2:5" hidden="1" outlineLevel="1" x14ac:dyDescent="0.25">
      <c r="B54" s="727" t="str">
        <f t="shared" ca="1" si="1"/>
        <v>Zuschlag für Überstunden</v>
      </c>
      <c r="C54" s="736" t="str">
        <f ca="1">'  B  '!B64</f>
        <v>Prozent</v>
      </c>
      <c r="D54" s="741">
        <f>'  B  '!C64</f>
        <v>0</v>
      </c>
      <c r="E54" s="715"/>
    </row>
    <row r="55" spans="2:5" collapsed="1" x14ac:dyDescent="0.25">
      <c r="B55" s="730" t="str">
        <f t="shared" ca="1" si="1"/>
        <v>13. Monatslohn</v>
      </c>
      <c r="C55" s="728" t="str">
        <f ca="1">'  B  '!B65</f>
        <v>(Auswahl in Spalte C)</v>
      </c>
      <c r="D55" s="992" t="str">
        <f ca="1">'  B  '!C65</f>
        <v>Nein</v>
      </c>
      <c r="E55" s="992"/>
    </row>
    <row r="56" spans="2:5" hidden="1" outlineLevel="1" x14ac:dyDescent="0.25">
      <c r="B56" s="742" t="str">
        <f t="shared" ca="1" si="1"/>
        <v/>
      </c>
      <c r="C56" s="728" t="str">
        <f ca="1">'  B  '!B66</f>
        <v/>
      </c>
      <c r="D56" s="743" t="str">
        <f ca="1">'  B  '!C66</f>
        <v>Dezember</v>
      </c>
      <c r="E56" s="62">
        <f>'  B  '!D66</f>
        <v>0</v>
      </c>
    </row>
    <row r="57" spans="2:5" hidden="1" outlineLevel="1" x14ac:dyDescent="0.25">
      <c r="B57" s="744" t="str">
        <f t="shared" ca="1" si="1"/>
        <v>Zahlungsverbindung Bank</v>
      </c>
      <c r="C57" s="736" t="str">
        <f ca="1">'  B  '!B67</f>
        <v>Name der Bank und Ort</v>
      </c>
      <c r="D57" s="732" t="str">
        <f>'  B  '!C67</f>
        <v/>
      </c>
      <c r="E57" s="62">
        <f>'  B  '!D67</f>
        <v>0</v>
      </c>
    </row>
    <row r="58" spans="2:5" hidden="1" outlineLevel="1" x14ac:dyDescent="0.25">
      <c r="B58" s="739" t="str">
        <f t="shared" ca="1" si="1"/>
        <v>Kontonummer IBAN</v>
      </c>
      <c r="C58" s="734">
        <f>'  B  '!B68</f>
        <v>0</v>
      </c>
      <c r="D58" s="732" t="str">
        <f>'  B  '!C68</f>
        <v/>
      </c>
      <c r="E58" s="62">
        <f>'  B  '!D68</f>
        <v>0</v>
      </c>
    </row>
    <row r="59" spans="2:5" hidden="1" outlineLevel="1" x14ac:dyDescent="0.25">
      <c r="B59" s="55">
        <f t="shared" ca="1" si="1"/>
        <v>0</v>
      </c>
      <c r="C59" s="62">
        <f>'  B  '!B69</f>
        <v>0</v>
      </c>
      <c r="D59" s="759" t="s">
        <v>1332</v>
      </c>
      <c r="E59" s="62">
        <f>'  B  '!D69</f>
        <v>0</v>
      </c>
    </row>
    <row r="60" spans="2:5" collapsed="1" x14ac:dyDescent="0.25">
      <c r="B60" s="362" t="str">
        <f t="shared" ca="1" si="1"/>
        <v>Regelung der Sozialversicherungsbeiträge</v>
      </c>
      <c r="C60" s="362">
        <f>'  B  '!B70</f>
        <v>0</v>
      </c>
      <c r="D60" s="361" t="str">
        <f ca="1">'  B  '!C70</f>
        <v>Anteil ArbeitgeberIn</v>
      </c>
      <c r="E60" s="361" t="str">
        <f ca="1">'  B  '!D70</f>
        <v>Anteil ArbeitnehmerIn</v>
      </c>
    </row>
    <row r="61" spans="2:5" x14ac:dyDescent="0.25">
      <c r="B61" s="730" t="str">
        <f t="shared" ca="1" si="1"/>
        <v>AHV / IV / EO</v>
      </c>
      <c r="C61" s="736" t="str">
        <f ca="1">'  B  '!B71</f>
        <v>Prozent</v>
      </c>
      <c r="D61" s="219">
        <f>'  B  '!C71</f>
        <v>5.2999999999999999E-2</v>
      </c>
      <c r="E61" s="220">
        <f>'  B  '!D71</f>
        <v>5.2999999999999999E-2</v>
      </c>
    </row>
    <row r="62" spans="2:5" x14ac:dyDescent="0.25">
      <c r="B62" s="730" t="str">
        <f t="shared" ca="1" si="1"/>
        <v>ALV</v>
      </c>
      <c r="C62" s="736" t="str">
        <f ca="1">'  B  '!B72</f>
        <v>Prozent</v>
      </c>
      <c r="D62" s="219">
        <f>'  B  '!C72</f>
        <v>1.0999999999999999E-2</v>
      </c>
      <c r="E62" s="220">
        <f>'  B  '!D72</f>
        <v>1.0999999999999999E-2</v>
      </c>
    </row>
    <row r="63" spans="2:5" x14ac:dyDescent="0.25">
      <c r="B63" s="730" t="str">
        <f t="shared" ca="1" si="1"/>
        <v>Verwaltungskosten AHV</v>
      </c>
      <c r="C63" s="745" t="str">
        <f ca="1">'  B  '!B73</f>
        <v>Eingaben je nach Berechnungsart in nächster oder übernächster Zeile</v>
      </c>
      <c r="D63" s="91"/>
      <c r="E63" s="62"/>
    </row>
    <row r="64" spans="2:5" x14ac:dyDescent="0.25">
      <c r="B64" s="746" t="str">
        <f t="shared" ca="1" si="1"/>
        <v>falls in % des Bruttolohn</v>
      </c>
      <c r="C64" s="736" t="str">
        <f ca="1">'  B  '!B74</f>
        <v>Prozent</v>
      </c>
      <c r="D64" s="219">
        <f>'  B  '!C74</f>
        <v>0</v>
      </c>
      <c r="E64" s="55"/>
    </row>
    <row r="65" spans="2:5" x14ac:dyDescent="0.25">
      <c r="B65" s="746" t="str">
        <f t="shared" ca="1" si="1"/>
        <v>falls in % des AHV-Beitrages</v>
      </c>
      <c r="C65" s="736" t="str">
        <f ca="1">'  B  '!B75</f>
        <v>Prozent</v>
      </c>
      <c r="D65" s="219">
        <f>'  B  '!C75</f>
        <v>0</v>
      </c>
      <c r="E65" s="55"/>
    </row>
    <row r="66" spans="2:5" x14ac:dyDescent="0.25">
      <c r="B66" s="730" t="str">
        <f t="shared" ca="1" si="1"/>
        <v>Berufsunfall (BU)</v>
      </c>
      <c r="C66" s="745" t="str">
        <f ca="1">'  B  '!B76</f>
        <v>Eingaben je nach Berechnungsart in nächster oder übernächster Zeile</v>
      </c>
      <c r="D66" s="91"/>
      <c r="E66" s="55"/>
    </row>
    <row r="67" spans="2:5" x14ac:dyDescent="0.25">
      <c r="B67" s="746" t="str">
        <f t="shared" ca="1" si="1"/>
        <v>falls in %</v>
      </c>
      <c r="C67" s="736" t="str">
        <f ca="1">'  B  '!B77</f>
        <v>Prozent</v>
      </c>
      <c r="D67" s="219">
        <f>'  B  '!C77</f>
        <v>0</v>
      </c>
      <c r="E67" s="91"/>
    </row>
    <row r="68" spans="2:5" x14ac:dyDescent="0.25">
      <c r="B68" s="746" t="str">
        <f t="shared" ref="B68:B99" ca="1" si="2">INDIRECT(ADDRESS(ROW()+N_Offset_Kontrolldaten,COLUMN()+(N_SpracheAuswahl)*26,,,"Text"))</f>
        <v>falls in Fr.</v>
      </c>
      <c r="C68" s="736" t="str">
        <f ca="1">'  B  '!B78</f>
        <v>Franken pro Monat</v>
      </c>
      <c r="D68" s="747">
        <f>'  B  '!C78</f>
        <v>0</v>
      </c>
      <c r="E68" s="91"/>
    </row>
    <row r="69" spans="2:5" x14ac:dyDescent="0.25">
      <c r="B69" s="727" t="str">
        <f t="shared" ca="1" si="2"/>
        <v>Nichtberufsunfall</v>
      </c>
      <c r="C69" s="736" t="str">
        <f ca="1">'  B  '!B79</f>
        <v>Prozent</v>
      </c>
      <c r="D69" s="219">
        <f>'  B  '!C79</f>
        <v>0</v>
      </c>
      <c r="E69" s="219">
        <f>'  B  '!D79</f>
        <v>0</v>
      </c>
    </row>
    <row r="70" spans="2:5" x14ac:dyDescent="0.25">
      <c r="B70" s="727" t="str">
        <f t="shared" ca="1" si="2"/>
        <v>Berufliche Vorsorge (BVG)</v>
      </c>
      <c r="C70" s="736" t="str">
        <f ca="1">'  B  '!B80</f>
        <v>Franken pro Monat</v>
      </c>
      <c r="D70" s="693">
        <f>'  B  '!C80</f>
        <v>0</v>
      </c>
      <c r="E70" s="748">
        <f>'  B  '!D80</f>
        <v>0</v>
      </c>
    </row>
    <row r="71" spans="2:5" x14ac:dyDescent="0.25">
      <c r="B71" s="730" t="str">
        <f t="shared" ca="1" si="2"/>
        <v>Familienzulagen</v>
      </c>
      <c r="C71" s="736" t="str">
        <f ca="1">'  B  '!B81</f>
        <v>Prozent</v>
      </c>
      <c r="D71" s="219">
        <f>'  B  '!C81</f>
        <v>1.4999999999999999E-2</v>
      </c>
      <c r="E71" s="749">
        <f>'  B  '!D81</f>
        <v>0</v>
      </c>
    </row>
    <row r="72" spans="2:5" x14ac:dyDescent="0.25">
      <c r="B72" s="727" t="str">
        <f t="shared" ca="1" si="2"/>
        <v>Krankentaggeld</v>
      </c>
      <c r="C72" s="736" t="str">
        <f ca="1">'  B  '!B82</f>
        <v>Prozent</v>
      </c>
      <c r="D72" s="219">
        <f>'  B  '!C82</f>
        <v>0</v>
      </c>
      <c r="E72" s="750">
        <f>'  B  '!D82</f>
        <v>0</v>
      </c>
    </row>
    <row r="73" spans="2:5" hidden="1" outlineLevel="1" x14ac:dyDescent="0.25">
      <c r="B73" s="55">
        <f t="shared" ca="1" si="2"/>
        <v>0</v>
      </c>
      <c r="C73" s="55">
        <f>'  B  '!B83</f>
        <v>0</v>
      </c>
      <c r="D73" s="55"/>
      <c r="E73" s="55"/>
    </row>
    <row r="74" spans="2:5" ht="13.8" collapsed="1" thickBot="1" x14ac:dyDescent="0.3">
      <c r="B74" s="727" t="str">
        <f t="shared" ca="1" si="2"/>
        <v>Kinder- / Ausbildungszulage</v>
      </c>
      <c r="C74" s="728" t="str">
        <f ca="1">'  B  '!B84</f>
        <v>(Auswahl in Spalte C)</v>
      </c>
      <c r="D74" s="110" t="str">
        <f ca="1">'  B  '!C84</f>
        <v>Nein</v>
      </c>
      <c r="E74" s="751"/>
    </row>
    <row r="75" spans="2:5" ht="14.4" thickTop="1" thickBot="1" x14ac:dyDescent="0.3">
      <c r="B75" s="703" t="str">
        <f t="shared" ca="1" si="2"/>
        <v>Abzug für Quellensteuer</v>
      </c>
      <c r="C75" s="711" t="str">
        <f ca="1">'  B  '!B85</f>
        <v>(Auswahl in Spalte C)</v>
      </c>
      <c r="D75" s="110" t="str">
        <f ca="1">'  B  '!C85</f>
        <v>Nein</v>
      </c>
      <c r="E75" s="752"/>
    </row>
    <row r="76" spans="2:5" ht="13.8" hidden="1" outlineLevel="1" thickTop="1" x14ac:dyDescent="0.25">
      <c r="B76" s="55">
        <f t="shared" ca="1" si="2"/>
        <v>0</v>
      </c>
      <c r="C76" s="55">
        <f>'  B  '!B86</f>
        <v>0</v>
      </c>
      <c r="D76" s="55">
        <f>'  B  '!C86</f>
        <v>0</v>
      </c>
      <c r="E76" s="62"/>
    </row>
    <row r="77" spans="2:5" ht="26.4" hidden="1" outlineLevel="1" x14ac:dyDescent="0.25">
      <c r="B77" s="702" t="str">
        <f t="shared" ca="1" si="2"/>
        <v>Jahreslohn (inkl. Sozialvers.-Beiträge, ohne Kost und Logis)</v>
      </c>
      <c r="C77" s="753" t="str">
        <f ca="1">'  B  '!B87</f>
        <v>Franken</v>
      </c>
      <c r="D77" s="754">
        <f ca="1">'  B  '!C87</f>
        <v>0</v>
      </c>
      <c r="E77" s="755" t="str">
        <f>'  B  '!D87</f>
        <v>(für Übertrag ins ASTeK+)</v>
      </c>
    </row>
    <row r="78" spans="2:5" hidden="1" outlineLevel="1" x14ac:dyDescent="0.25">
      <c r="B78" s="55">
        <f t="shared" ca="1" si="2"/>
        <v>0</v>
      </c>
      <c r="C78" s="55">
        <f>'  B  '!B88</f>
        <v>0</v>
      </c>
      <c r="D78" s="55"/>
      <c r="E78" s="62"/>
    </row>
    <row r="79" spans="2:5" hidden="1" outlineLevel="1" x14ac:dyDescent="0.25">
      <c r="B79" s="75" t="str">
        <f t="shared" ca="1" si="2"/>
        <v>6. Ferien (Abschnitt 8 des Musterarbeitsvertrages)</v>
      </c>
      <c r="C79" s="76">
        <f>'  B  '!B89</f>
        <v>0</v>
      </c>
      <c r="D79" s="760"/>
      <c r="E79" s="76"/>
    </row>
    <row r="80" spans="2:5" hidden="1" outlineLevel="1" x14ac:dyDescent="0.25">
      <c r="B80" s="703" t="str">
        <f t="shared" ca="1" si="2"/>
        <v>Ferienanspruch</v>
      </c>
      <c r="C80" s="753" t="str">
        <f ca="1">'  B  '!B90</f>
        <v>Wochen pro Jahr</v>
      </c>
      <c r="D80" s="107">
        <f>'  B  '!C90</f>
        <v>4</v>
      </c>
      <c r="E80" s="62"/>
    </row>
    <row r="81" spans="2:5" hidden="1" outlineLevel="1" x14ac:dyDescent="0.25">
      <c r="B81" s="55" t="str">
        <f t="shared" ca="1" si="2"/>
        <v>Ferienguthaben auf Lohnabrechnung ausdrucken?</v>
      </c>
      <c r="C81" s="62">
        <f>'  B  '!B91</f>
        <v>0</v>
      </c>
      <c r="D81" s="110" t="str">
        <f ca="1">'  B  '!C91</f>
        <v>Nein</v>
      </c>
      <c r="E81" s="62"/>
    </row>
    <row r="82" spans="2:5" hidden="1" outlineLevel="1" x14ac:dyDescent="0.25">
      <c r="B82" s="75" t="str">
        <f t="shared" ca="1" si="2"/>
        <v>7. Beendigung des Arbeitsverhältnisses (Abschnitt 9 des Musterarbeitsvertrages)</v>
      </c>
      <c r="C82" s="77">
        <f>'  B  '!B92</f>
        <v>0</v>
      </c>
      <c r="D82" s="77"/>
      <c r="E82" s="76"/>
    </row>
    <row r="83" spans="2:5" hidden="1" outlineLevel="1" x14ac:dyDescent="0.25">
      <c r="B83" s="405" t="str">
        <f t="shared" ca="1" si="2"/>
        <v>Ohne abweichende Regelung im Arbeitsvertrag gelten die Angaben gemäss OR in Spalte D</v>
      </c>
      <c r="C83" s="402">
        <f>'  B  '!B93</f>
        <v>0</v>
      </c>
      <c r="D83" s="402"/>
      <c r="E83" s="419"/>
    </row>
    <row r="84" spans="2:5" hidden="1" outlineLevel="1" x14ac:dyDescent="0.25">
      <c r="B84" s="702" t="str">
        <f t="shared" ca="1" si="2"/>
        <v>Kündigungsfrist im 1. Dienstjahr</v>
      </c>
      <c r="C84" s="753" t="str">
        <f ca="1">'  B  '!B94</f>
        <v>Monate</v>
      </c>
      <c r="D84" s="108">
        <f>'  B  '!C94</f>
        <v>2</v>
      </c>
      <c r="E84" s="120">
        <f>'  B  '!D94</f>
        <v>2</v>
      </c>
    </row>
    <row r="85" spans="2:5" hidden="1" outlineLevel="1" x14ac:dyDescent="0.25">
      <c r="B85" s="702" t="str">
        <f t="shared" ca="1" si="2"/>
        <v>Kündigungsfrist ab 2. Dienstjahr</v>
      </c>
      <c r="C85" s="753" t="str">
        <f ca="1">'  B  '!B95</f>
        <v>Monate</v>
      </c>
      <c r="D85" s="108">
        <f>'  B  '!C95</f>
        <v>2</v>
      </c>
      <c r="E85" s="120">
        <f>'  B  '!D95</f>
        <v>2</v>
      </c>
    </row>
    <row r="86" spans="2:5" hidden="1" outlineLevel="1" x14ac:dyDescent="0.25">
      <c r="B86" s="703" t="str">
        <f t="shared" ca="1" si="2"/>
        <v>Kündigung möglich per</v>
      </c>
      <c r="C86" s="711" t="str">
        <f ca="1">'  B  '!B96</f>
        <v>(Auswahl in Spalte C)</v>
      </c>
      <c r="D86" s="109" t="str">
        <f>'  B  '!C96</f>
        <v/>
      </c>
      <c r="E86" s="120" t="str">
        <f ca="1">'  B  '!D96</f>
        <v>Ende Monat</v>
      </c>
    </row>
    <row r="87" spans="2:5" ht="52.8" hidden="1" outlineLevel="1" x14ac:dyDescent="0.25">
      <c r="B87" s="703" t="str">
        <f t="shared" ca="1" si="2"/>
        <v>gekündigt auf Datum</v>
      </c>
      <c r="C87" s="710" t="str">
        <f ca="1">'  B  '!B97</f>
        <v>Bei fristloser Kündigung entsprechend auswählen in C93</v>
      </c>
      <c r="D87" s="573" t="str">
        <f>'  B  '!C97</f>
        <v/>
      </c>
      <c r="E87" s="517" t="str">
        <f ca="1">'  B  '!D97</f>
        <v>Angabe benötigt für die korrekte Berechnung des Lohnes im letzten Monat</v>
      </c>
    </row>
    <row r="88" spans="2:5" hidden="1" outlineLevel="1" x14ac:dyDescent="0.25">
      <c r="B88" s="703" t="str">
        <f t="shared" ca="1" si="2"/>
        <v>gekündigt durch</v>
      </c>
      <c r="C88" s="711" t="str">
        <f ca="1">'  B  '!B98</f>
        <v>(Auswahl in Spalte C)</v>
      </c>
      <c r="D88" s="109" t="str">
        <f>'  B  '!C98</f>
        <v/>
      </c>
      <c r="E88" s="121">
        <f>'  B  '!D98</f>
        <v>0</v>
      </c>
    </row>
    <row r="89" spans="2:5" hidden="1" outlineLevel="1" x14ac:dyDescent="0.25">
      <c r="B89" s="55">
        <f t="shared" ca="1" si="2"/>
        <v>0</v>
      </c>
      <c r="C89" s="62">
        <f>'  B  '!B99</f>
        <v>0</v>
      </c>
      <c r="D89" s="55"/>
      <c r="E89" s="354"/>
    </row>
    <row r="90" spans="2:5" hidden="1" outlineLevel="1" x14ac:dyDescent="0.25">
      <c r="B90" s="75" t="str">
        <f t="shared" ca="1" si="2"/>
        <v>8. Regelungen zur Lohnfortzahlung (Abschnitt 10 des Musterarbeitsvertrages)</v>
      </c>
      <c r="C90" s="76">
        <f>'  B  '!B100</f>
        <v>0</v>
      </c>
      <c r="D90" s="77"/>
      <c r="E90" s="388"/>
    </row>
    <row r="91" spans="2:5" hidden="1" outlineLevel="1" x14ac:dyDescent="0.25">
      <c r="B91" s="64" t="str">
        <f t="shared" ca="1" si="2"/>
        <v>Falls ArbeitnehmerIn verhindert (OR Art. 324a) wird die Lohnfortzahlung gemäss Berner Skala berechnet.</v>
      </c>
      <c r="C91" s="62">
        <f>'  B  '!B101</f>
        <v>0</v>
      </c>
      <c r="D91" s="55"/>
      <c r="E91" s="354"/>
    </row>
    <row r="92" spans="2:5" hidden="1" outlineLevel="1" x14ac:dyDescent="0.25">
      <c r="B92" s="64" t="str">
        <f t="shared" ca="1" si="2"/>
        <v>Falls Spalte C nicht ausgefüllt, gelten Werte in Spalte D</v>
      </c>
      <c r="C92" s="62">
        <f>'  B  '!B102</f>
        <v>0</v>
      </c>
      <c r="D92" s="95"/>
      <c r="E92" s="121"/>
    </row>
    <row r="93" spans="2:5" hidden="1" outlineLevel="1" x14ac:dyDescent="0.25">
      <c r="B93" s="66" t="str">
        <f t="shared" ca="1" si="2"/>
        <v>Regelung bei Unfall wegen Leistung der Unfallversicherung</v>
      </c>
      <c r="C93" s="55">
        <f>'  B  '!B103</f>
        <v>0</v>
      </c>
      <c r="D93" s="95"/>
      <c r="E93" s="122"/>
    </row>
    <row r="94" spans="2:5" hidden="1" outlineLevel="1" x14ac:dyDescent="0.25">
      <c r="B94" s="702" t="str">
        <f t="shared" ca="1" si="2"/>
        <v>Dauer Wartefrist Unfalltaggeld</v>
      </c>
      <c r="C94" s="753" t="str">
        <f ca="1">'  B  '!B104</f>
        <v>Tage</v>
      </c>
      <c r="D94" s="111" t="str">
        <f>'  B  '!C104</f>
        <v/>
      </c>
      <c r="E94" s="123">
        <f>'  B  '!D104</f>
        <v>2</v>
      </c>
    </row>
    <row r="95" spans="2:5" hidden="1" outlineLevel="1" x14ac:dyDescent="0.25">
      <c r="B95" s="702" t="str">
        <f t="shared" ca="1" si="2"/>
        <v>Höhe vereinbarter Lohn bei Unfall</v>
      </c>
      <c r="C95" s="753" t="str">
        <f ca="1">'  B  '!B105</f>
        <v>Prozent vom Bruttolohn</v>
      </c>
      <c r="D95" s="112" t="str">
        <f>'  B  '!C105</f>
        <v/>
      </c>
      <c r="E95" s="123" t="str">
        <f>'  B  '!D105</f>
        <v>min. 80%</v>
      </c>
    </row>
    <row r="96" spans="2:5" hidden="1" outlineLevel="1" x14ac:dyDescent="0.25">
      <c r="B96" s="702" t="str">
        <f t="shared" ca="1" si="2"/>
        <v>Höhe versichertes Unfalltaggeld</v>
      </c>
      <c r="C96" s="753" t="str">
        <f ca="1">'  B  '!B106</f>
        <v>Prozent vom Bruttolohn</v>
      </c>
      <c r="D96" s="112" t="str">
        <f>'  B  '!C106</f>
        <v/>
      </c>
      <c r="E96" s="124">
        <f>'  B  '!D106</f>
        <v>0.8</v>
      </c>
    </row>
    <row r="97" spans="2:5" hidden="1" outlineLevel="1" x14ac:dyDescent="0.25">
      <c r="B97" s="702" t="str">
        <f t="shared" ca="1" si="2"/>
        <v>Dauer Zahlung Unfalltaggeld</v>
      </c>
      <c r="C97" s="753" t="str">
        <f ca="1">'  B  '!B107</f>
        <v>Tage</v>
      </c>
      <c r="D97" s="111" t="str">
        <f>'  B  '!C107</f>
        <v/>
      </c>
      <c r="E97" s="123">
        <f>'  B  '!D107</f>
        <v>730</v>
      </c>
    </row>
    <row r="98" spans="2:5" hidden="1" outlineLevel="1" x14ac:dyDescent="0.25">
      <c r="B98" s="634">
        <f t="shared" ca="1" si="2"/>
        <v>0</v>
      </c>
      <c r="C98" s="87">
        <f>'  B  '!B108</f>
        <v>0</v>
      </c>
      <c r="D98" s="762"/>
      <c r="E98" s="763"/>
    </row>
    <row r="99" spans="2:5" hidden="1" outlineLevel="1" x14ac:dyDescent="0.25">
      <c r="B99" s="66" t="str">
        <f t="shared" ca="1" si="2"/>
        <v>Regelung bei Abschluss einer Krankentaggeldversicherung</v>
      </c>
      <c r="C99" s="55">
        <f>'  B  '!B109</f>
        <v>0</v>
      </c>
      <c r="D99" s="95"/>
      <c r="E99" s="122"/>
    </row>
    <row r="100" spans="2:5" hidden="1" outlineLevel="1" x14ac:dyDescent="0.25">
      <c r="B100" s="702" t="str">
        <f t="shared" ref="B100:B108" ca="1" si="3">INDIRECT(ADDRESS(ROW()+N_Offset_Kontrolldaten,COLUMN()+(N_SpracheAuswahl)*26,,,"Text"))</f>
        <v>Besteht eine Krankentaggeldversicherung?</v>
      </c>
      <c r="C100" s="711" t="str">
        <f ca="1">'  B  '!B110</f>
        <v>(Auswahl in Spalte C)</v>
      </c>
      <c r="D100" s="756" t="str">
        <f ca="1">'  B  '!C110</f>
        <v>Nein</v>
      </c>
      <c r="E100" s="757" t="str">
        <f ca="1">'  B  '!D110</f>
        <v>Nein</v>
      </c>
    </row>
    <row r="101" spans="2:5" hidden="1" outlineLevel="1" x14ac:dyDescent="0.25">
      <c r="B101" s="758" t="str">
        <f t="shared" ca="1" si="3"/>
        <v/>
      </c>
      <c r="C101" s="753" t="str">
        <f ca="1">'  B  '!B111</f>
        <v/>
      </c>
      <c r="D101" s="111" t="str">
        <f>'  B  '!C111</f>
        <v/>
      </c>
      <c r="E101" s="121">
        <f>'  B  '!D109</f>
        <v>0</v>
      </c>
    </row>
    <row r="102" spans="2:5" hidden="1" outlineLevel="1" x14ac:dyDescent="0.25">
      <c r="B102" s="758" t="str">
        <f t="shared" ca="1" si="3"/>
        <v/>
      </c>
      <c r="C102" s="711" t="str">
        <f ca="1">'  B  '!B112</f>
        <v>(Auswahl in Spalte C)</v>
      </c>
      <c r="D102" s="764" t="str">
        <f>'  B  '!C112</f>
        <v/>
      </c>
      <c r="E102" s="127" t="str">
        <f ca="1">'  B  '!D110</f>
        <v>Nein</v>
      </c>
    </row>
    <row r="103" spans="2:5" hidden="1" outlineLevel="1" x14ac:dyDescent="0.25">
      <c r="B103" s="758" t="str">
        <f t="shared" ca="1" si="3"/>
        <v/>
      </c>
      <c r="C103" s="753" t="str">
        <f ca="1">'  B  '!B113</f>
        <v/>
      </c>
      <c r="D103" s="112" t="str">
        <f>'  B  '!C113</f>
        <v/>
      </c>
      <c r="E103" s="448">
        <f>'  B  '!D111</f>
        <v>0</v>
      </c>
    </row>
    <row r="104" spans="2:5" hidden="1" outlineLevel="1" x14ac:dyDescent="0.25">
      <c r="B104" s="758" t="str">
        <f t="shared" ca="1" si="3"/>
        <v/>
      </c>
      <c r="C104" s="753" t="str">
        <f ca="1">'  B  '!B114</f>
        <v/>
      </c>
      <c r="D104" s="112" t="str">
        <f>'  B  '!C114</f>
        <v/>
      </c>
      <c r="E104" s="765">
        <f>'  B  '!D112</f>
        <v>0</v>
      </c>
    </row>
    <row r="105" spans="2:5" hidden="1" outlineLevel="1" x14ac:dyDescent="0.25">
      <c r="B105" s="758" t="str">
        <f t="shared" ca="1" si="3"/>
        <v/>
      </c>
      <c r="C105" s="753" t="str">
        <f ca="1">'  B  '!B115</f>
        <v/>
      </c>
      <c r="D105" s="761" t="str">
        <f>'  B  '!C115</f>
        <v/>
      </c>
      <c r="E105" s="765" t="str">
        <f ca="1">'  B  '!D113</f>
        <v>min.80%</v>
      </c>
    </row>
    <row r="106" spans="2:5" hidden="1" outlineLevel="1" x14ac:dyDescent="0.25">
      <c r="B106" s="55">
        <f t="shared" ca="1" si="3"/>
        <v>0</v>
      </c>
      <c r="C106" s="62">
        <f>'  B  '!B116</f>
        <v>0</v>
      </c>
      <c r="D106" s="766"/>
      <c r="E106" s="121"/>
    </row>
    <row r="107" spans="2:5" hidden="1" outlineLevel="1" x14ac:dyDescent="0.25">
      <c r="B107" s="66" t="str">
        <f t="shared" ca="1" si="3"/>
        <v>Vereinbarung für den Fall, dass Assistenz wegen Heim / Spital nicht entgegengenommen werden kann (OR Art. 324)</v>
      </c>
      <c r="C107" s="62">
        <f>'  B  '!B117</f>
        <v>0</v>
      </c>
      <c r="D107" s="95"/>
      <c r="E107" s="121"/>
    </row>
    <row r="108" spans="2:5" hidden="1" outlineLevel="1" x14ac:dyDescent="0.25">
      <c r="B108" s="702" t="str">
        <f t="shared" ca="1" si="3"/>
        <v>Maximale Lohnfortzahlung</v>
      </c>
      <c r="C108" s="753" t="str">
        <f ca="1">'  B  '!B118</f>
        <v>Monate pro Ereignis</v>
      </c>
      <c r="D108" s="108">
        <f>'  B  '!C118</f>
        <v>3</v>
      </c>
      <c r="E108" s="121">
        <f>'  B  '!D116</f>
        <v>0</v>
      </c>
    </row>
    <row r="109" spans="2:5" ht="13.8" collapsed="1" thickTop="1" x14ac:dyDescent="0.25"/>
  </sheetData>
  <sheetProtection algorithmName="SHA-512" hashValue="jcYRLQZXp0EgyBujzQkZpNNwZIrxjMU4pMzVV2ygI8Flz8mfhQyf3BYHd+LO6VO4F76mCN+J+u6qM5niFynxGA==" saltValue="mFMwkEK1ADY0D3SFxSMO2w==" spinCount="100000" sheet="1" objects="1" scenarios="1"/>
  <mergeCells count="8">
    <mergeCell ref="D53:E53"/>
    <mergeCell ref="D55:E55"/>
    <mergeCell ref="D33:E33"/>
    <mergeCell ref="D36:E36"/>
    <mergeCell ref="D46:E46"/>
    <mergeCell ref="D49:E49"/>
    <mergeCell ref="D50:E50"/>
    <mergeCell ref="D52:E52"/>
  </mergeCells>
  <conditionalFormatting sqref="B38:D38">
    <cfRule type="expression" dxfId="9" priority="3" stopIfTrue="1">
      <formula>NOT(N_AnstellungBefristetAuswahl=1)</formula>
    </cfRule>
  </conditionalFormatting>
  <conditionalFormatting sqref="B56:D56">
    <cfRule type="expression" dxfId="8" priority="5" stopIfTrue="1">
      <formula>NOT(VLOOKUP($C55,A_JaNein_Auswahl,2,0)=1)</formula>
    </cfRule>
  </conditionalFormatting>
  <conditionalFormatting sqref="B51:E53">
    <cfRule type="expression" dxfId="7" priority="4" stopIfTrue="1">
      <formula>NOT(N_LohnartAuswahl=2)</formula>
    </cfRule>
  </conditionalFormatting>
  <conditionalFormatting sqref="B101:E105">
    <cfRule type="expression" dxfId="6" priority="2" stopIfTrue="1">
      <formula>NOT($F$109=1)</formula>
    </cfRule>
  </conditionalFormatting>
  <conditionalFormatting sqref="E20">
    <cfRule type="expression" dxfId="5" priority="1" stopIfTrue="1">
      <formula>NOT($F$29)</formula>
    </cfRule>
  </conditionalFormatting>
  <pageMargins left="0.98425196850393704" right="0.78740157480314965" top="0.98425196850393704" bottom="0.98425196850393704" header="0.51181102362204722" footer="0.51181102362204722"/>
  <pageSetup paperSize="9" scale="98" orientation="portrait" r:id="rId1"/>
  <headerFooter alignWithMargins="0">
    <oddFooter>&amp;R&amp;8&amp;P/&amp;N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9">
    <tabColor indexed="55"/>
  </sheetPr>
  <dimension ref="A1:BW1058"/>
  <sheetViews>
    <sheetView topLeftCell="AK180" zoomScaleNormal="100" workbookViewId="0">
      <selection activeCell="AO188" sqref="AO188"/>
    </sheetView>
  </sheetViews>
  <sheetFormatPr baseColWidth="10" defaultColWidth="11.33203125" defaultRowHeight="13.2" x14ac:dyDescent="0.25"/>
  <cols>
    <col min="1" max="6" width="11.33203125" style="1"/>
    <col min="7" max="7" width="31.33203125" style="1" customWidth="1"/>
    <col min="8" max="26" width="11.33203125" style="1"/>
    <col min="27" max="27" width="49.109375" style="1" customWidth="1"/>
    <col min="28" max="28" width="26.44140625" style="1" customWidth="1"/>
    <col min="29" max="31" width="11.33203125" style="1"/>
    <col min="32" max="32" width="26.5546875" style="1" customWidth="1"/>
    <col min="33" max="37" width="11.33203125" style="1"/>
    <col min="38" max="52" width="11.33203125" style="1" customWidth="1"/>
    <col min="53" max="16384" width="11.33203125" style="1"/>
  </cols>
  <sheetData>
    <row r="1" spans="1:75" x14ac:dyDescent="0.25">
      <c r="A1" s="1" t="s">
        <v>800</v>
      </c>
      <c r="AA1" s="1" t="s">
        <v>1139</v>
      </c>
      <c r="BA1" s="1" t="s">
        <v>1140</v>
      </c>
    </row>
    <row r="3" spans="1:75" ht="13.8" thickBot="1" x14ac:dyDescent="0.3">
      <c r="A3" t="s">
        <v>1138</v>
      </c>
      <c r="C3" t="s">
        <v>1141</v>
      </c>
      <c r="E3" t="s">
        <v>1143</v>
      </c>
      <c r="G3" t="s">
        <v>884</v>
      </c>
      <c r="I3" s="1" t="s">
        <v>895</v>
      </c>
      <c r="K3" s="1" t="s">
        <v>508</v>
      </c>
      <c r="M3" s="1" t="s">
        <v>610</v>
      </c>
      <c r="O3" s="1" t="s">
        <v>614</v>
      </c>
      <c r="Q3" s="1" t="s">
        <v>381</v>
      </c>
      <c r="S3" s="1" t="s">
        <v>387</v>
      </c>
      <c r="U3" s="1" t="s">
        <v>355</v>
      </c>
      <c r="W3" s="1" t="s">
        <v>245</v>
      </c>
      <c r="AA3" t="s">
        <v>594</v>
      </c>
      <c r="AC3" t="s">
        <v>595</v>
      </c>
      <c r="AE3" t="s">
        <v>596</v>
      </c>
      <c r="AG3" t="s">
        <v>597</v>
      </c>
      <c r="AI3" s="1" t="s">
        <v>598</v>
      </c>
      <c r="AK3" s="1" t="s">
        <v>509</v>
      </c>
      <c r="AM3" s="1" t="s">
        <v>611</v>
      </c>
      <c r="AO3" s="1" t="s">
        <v>616</v>
      </c>
      <c r="AQ3" s="1" t="s">
        <v>382</v>
      </c>
      <c r="AS3" s="1" t="s">
        <v>338</v>
      </c>
      <c r="AU3" s="1" t="s">
        <v>356</v>
      </c>
      <c r="AW3" s="1" t="s">
        <v>873</v>
      </c>
      <c r="BA3" s="445" t="s">
        <v>675</v>
      </c>
      <c r="BC3" s="445" t="s">
        <v>1068</v>
      </c>
      <c r="BE3" s="445" t="s">
        <v>1069</v>
      </c>
      <c r="BG3" s="445" t="s">
        <v>1070</v>
      </c>
      <c r="BI3" s="445" t="s">
        <v>1071</v>
      </c>
      <c r="BK3" s="445" t="s">
        <v>1072</v>
      </c>
      <c r="BM3" s="445" t="s">
        <v>1073</v>
      </c>
      <c r="BO3" s="445" t="s">
        <v>616</v>
      </c>
      <c r="BQ3" s="445" t="s">
        <v>1074</v>
      </c>
      <c r="BS3" s="445" t="s">
        <v>1075</v>
      </c>
      <c r="BU3" s="445" t="s">
        <v>1076</v>
      </c>
      <c r="BW3" s="445" t="s">
        <v>1077</v>
      </c>
    </row>
    <row r="4" spans="1:75" x14ac:dyDescent="0.25">
      <c r="A4" s="18" t="str">
        <f ca="1">OFFSET(A4,0,N_Sprache*26,1)</f>
        <v>Deutsch</v>
      </c>
      <c r="C4" s="18" t="str">
        <f ca="1">OFFSET(C4,0,N_Sprache*26,1)</f>
        <v>Ja</v>
      </c>
      <c r="E4" s="18" t="str">
        <f ca="1">OFFSET(E4,0,N_Sprache*26,1)</f>
        <v>befristet</v>
      </c>
      <c r="G4" s="26" t="str">
        <f ca="1">OFFSET(G4,0,N_Sprache*26,1)</f>
        <v>Krankheit, Schwangerschaft mit Lohn</v>
      </c>
      <c r="I4" s="29" t="str">
        <f ca="1">OFFSET(I4,0,N_Sprache*26,1)</f>
        <v>Monatslohn</v>
      </c>
      <c r="K4" s="29" t="str">
        <f ca="1">OFFSET(K4,0,N_Sprache*26,1)</f>
        <v>Zuschlag pro geleistete Arbeitsstunde</v>
      </c>
      <c r="M4" s="1" t="s">
        <v>609</v>
      </c>
      <c r="O4" s="1" t="s">
        <v>609</v>
      </c>
      <c r="Q4" s="29" t="str">
        <f ca="1">OFFSET(Q4,0,N_Sprache*26,1)</f>
        <v>Ende Woche</v>
      </c>
      <c r="S4" s="29" t="str">
        <f ca="1">OFFSET(S4,0,N_Sprache*26,1)</f>
        <v>Arbeitgeber</v>
      </c>
      <c r="U4" s="29" t="str">
        <f ca="1">OFFSET(U4,0,N_Sprache*26,1)</f>
        <v>Neues Ereignis</v>
      </c>
      <c r="W4" s="29" t="str">
        <f ca="1">OFFSET(W4,0,N_Sprache*26,1)</f>
        <v>Herr</v>
      </c>
      <c r="AA4" s="18" t="s">
        <v>1139</v>
      </c>
      <c r="AC4" s="18" t="s">
        <v>876</v>
      </c>
      <c r="AE4" s="18" t="s">
        <v>883</v>
      </c>
      <c r="AG4" s="791" t="s">
        <v>1374</v>
      </c>
      <c r="AI4" s="29" t="s">
        <v>757</v>
      </c>
      <c r="AK4" s="29" t="s">
        <v>510</v>
      </c>
      <c r="AM4" s="1" t="s">
        <v>612</v>
      </c>
      <c r="AO4" s="1" t="s">
        <v>617</v>
      </c>
      <c r="AQ4" s="29" t="s">
        <v>383</v>
      </c>
      <c r="AS4" s="29" t="s">
        <v>339</v>
      </c>
      <c r="AU4" s="29" t="s">
        <v>357</v>
      </c>
      <c r="AW4" s="29" t="s">
        <v>872</v>
      </c>
      <c r="BA4" s="29" t="s">
        <v>1139</v>
      </c>
      <c r="BC4" s="29" t="s">
        <v>1078</v>
      </c>
      <c r="BE4" s="29" t="s">
        <v>1079</v>
      </c>
      <c r="BG4" s="29" t="s">
        <v>1080</v>
      </c>
      <c r="BI4" s="29" t="s">
        <v>1081</v>
      </c>
      <c r="BK4" s="29" t="s">
        <v>1082</v>
      </c>
      <c r="BM4" s="29" t="s">
        <v>1083</v>
      </c>
      <c r="BO4" s="29" t="s">
        <v>1084</v>
      </c>
      <c r="BQ4" s="29" t="s">
        <v>1085</v>
      </c>
      <c r="BS4" s="29" t="s">
        <v>1086</v>
      </c>
      <c r="BU4" s="29" t="s">
        <v>1087</v>
      </c>
      <c r="BW4" s="29" t="s">
        <v>1088</v>
      </c>
    </row>
    <row r="5" spans="1:75" ht="13.8" thickBot="1" x14ac:dyDescent="0.3">
      <c r="A5" s="28" t="str">
        <f ca="1">OFFSET(A5,0,N_Sprache*26,1)</f>
        <v>Français</v>
      </c>
      <c r="C5" s="19" t="str">
        <f ca="1">OFFSET(C5,0,N_Sprache*26,1)</f>
        <v>Nein</v>
      </c>
      <c r="E5" s="19" t="str">
        <f ca="1">OFFSET(E5,0,N_Sprache*26,1)</f>
        <v>unbefristet</v>
      </c>
      <c r="G5" s="27" t="str">
        <f ca="1">OFFSET(G5,0,N_Sprache*26,1)</f>
        <v>Unfall</v>
      </c>
      <c r="I5" s="30" t="str">
        <f ca="1">OFFSET(I5,0,N_Sprache*26,1)</f>
        <v>Stundenlohn</v>
      </c>
      <c r="K5" s="30" t="str">
        <f ca="1">OFFSET(K5,0,N_Sprache*26,1)</f>
        <v>separate Auszahlung während Ferienbezug</v>
      </c>
      <c r="Q5" s="30" t="str">
        <f ca="1">OFFSET(Q5,0,N_Sprache*26,1)</f>
        <v>Ende Monat</v>
      </c>
      <c r="S5" s="17" t="str">
        <f ca="1">OFFSET(S5,0,N_Sprache*26,1)</f>
        <v>Arbeitgeber fristlos</v>
      </c>
      <c r="U5" s="30" t="str">
        <f ca="1">OFFSET(U5,0,N_Sprache*26,1)</f>
        <v>Folgeereignis/Rückfall</v>
      </c>
      <c r="W5" s="30" t="str">
        <f ca="1">OFFSET(W5,0,N_Sprache*26,1)</f>
        <v>Frau</v>
      </c>
      <c r="AA5" s="27" t="s">
        <v>1140</v>
      </c>
      <c r="AC5" s="19" t="s">
        <v>875</v>
      </c>
      <c r="AE5" s="19" t="s">
        <v>1144</v>
      </c>
      <c r="AG5" s="27" t="s">
        <v>885</v>
      </c>
      <c r="AI5" s="30" t="s">
        <v>758</v>
      </c>
      <c r="AK5" s="30" t="s">
        <v>1121</v>
      </c>
      <c r="AM5" s="1" t="s">
        <v>613</v>
      </c>
      <c r="AO5" s="1" t="s">
        <v>618</v>
      </c>
      <c r="AQ5" s="30" t="s">
        <v>384</v>
      </c>
      <c r="AS5" s="17" t="s">
        <v>340</v>
      </c>
      <c r="AU5" s="30" t="s">
        <v>240</v>
      </c>
      <c r="AW5" s="30" t="s">
        <v>874</v>
      </c>
      <c r="BA5" s="30" t="s">
        <v>1140</v>
      </c>
      <c r="BC5" s="30" t="s">
        <v>1089</v>
      </c>
      <c r="BE5" s="30" t="s">
        <v>1090</v>
      </c>
      <c r="BG5" s="17" t="s">
        <v>1091</v>
      </c>
      <c r="BI5" s="30" t="s">
        <v>1092</v>
      </c>
      <c r="BK5" s="30" t="s">
        <v>1093</v>
      </c>
      <c r="BM5" s="17" t="s">
        <v>1094</v>
      </c>
      <c r="BO5" s="17" t="s">
        <v>1095</v>
      </c>
      <c r="BQ5" s="30" t="s">
        <v>1096</v>
      </c>
      <c r="BS5" s="17" t="s">
        <v>1097</v>
      </c>
      <c r="BU5" s="30" t="s">
        <v>1076</v>
      </c>
      <c r="BW5" s="30" t="s">
        <v>1098</v>
      </c>
    </row>
    <row r="6" spans="1:75" ht="13.8" thickBot="1" x14ac:dyDescent="0.3">
      <c r="A6"/>
      <c r="G6" s="27" t="str">
        <f ca="1">OFFSET(G6,0,N_Sprache*26,1)</f>
        <v>Schwangerschaft (ohne Lohnanspruch)</v>
      </c>
      <c r="S6" s="17" t="str">
        <f ca="1">OFFSET(S6,0,N_Sprache*26,1)</f>
        <v>Arbeitnehmer</v>
      </c>
      <c r="AA6" s="28"/>
      <c r="AG6" s="27" t="s">
        <v>628</v>
      </c>
      <c r="AM6" s="1" t="s">
        <v>761</v>
      </c>
      <c r="AO6" s="1" t="s">
        <v>619</v>
      </c>
      <c r="AS6" s="17" t="s">
        <v>341</v>
      </c>
      <c r="BG6" s="17" t="s">
        <v>1099</v>
      </c>
      <c r="BM6" s="17" t="s">
        <v>1100</v>
      </c>
      <c r="BO6" s="30" t="s">
        <v>1101</v>
      </c>
      <c r="BS6" s="17" t="s">
        <v>1102</v>
      </c>
    </row>
    <row r="7" spans="1:75" ht="13.8" thickBot="1" x14ac:dyDescent="0.3">
      <c r="G7" s="27" t="s">
        <v>1427</v>
      </c>
      <c r="S7" s="30" t="str">
        <f ca="1">OFFSET(S7,0,N_Sprache*26,1)</f>
        <v>in gegenseitigem Einvernehmen</v>
      </c>
      <c r="AG7" s="27" t="s">
        <v>1427</v>
      </c>
      <c r="AM7" s="1" t="s">
        <v>606</v>
      </c>
      <c r="AS7" s="30" t="s">
        <v>342</v>
      </c>
      <c r="BG7" s="17" t="s">
        <v>1427</v>
      </c>
      <c r="BM7" s="17" t="s">
        <v>1103</v>
      </c>
      <c r="BS7" s="30" t="s">
        <v>1104</v>
      </c>
    </row>
    <row r="8" spans="1:75" ht="13.8" thickBot="1" x14ac:dyDescent="0.3">
      <c r="G8" s="28" t="s">
        <v>886</v>
      </c>
      <c r="AG8" s="841" t="s">
        <v>886</v>
      </c>
      <c r="AM8" s="1" t="str">
        <f t="shared" ref="AM8:AM13" si="0">AG4</f>
        <v>Krankheit, Schwangerschaft mit Lohn</v>
      </c>
      <c r="BG8" s="17" t="s">
        <v>1105</v>
      </c>
      <c r="BM8" s="17" t="s">
        <v>1080</v>
      </c>
    </row>
    <row r="9" spans="1:75" ht="13.8" thickBot="1" x14ac:dyDescent="0.3">
      <c r="AG9" s="1" t="s">
        <v>520</v>
      </c>
      <c r="AM9" s="1" t="str">
        <f t="shared" si="0"/>
        <v>Unfall</v>
      </c>
      <c r="BG9" s="447" t="s">
        <v>1171</v>
      </c>
      <c r="BM9" s="17" t="s">
        <v>1091</v>
      </c>
    </row>
    <row r="10" spans="1:75" x14ac:dyDescent="0.25">
      <c r="AM10" s="1" t="str">
        <f t="shared" si="0"/>
        <v>Schwangerschaft (ohne Lohnanspruch)</v>
      </c>
      <c r="BM10" s="17" t="s">
        <v>1099</v>
      </c>
    </row>
    <row r="11" spans="1:75" x14ac:dyDescent="0.25">
      <c r="AM11" s="1" t="str">
        <f t="shared" si="0"/>
        <v xml:space="preserve"> - </v>
      </c>
      <c r="BM11" s="17" t="s">
        <v>1427</v>
      </c>
    </row>
    <row r="12" spans="1:75" x14ac:dyDescent="0.25">
      <c r="AM12" s="1" t="s">
        <v>886</v>
      </c>
      <c r="BM12" s="17" t="s">
        <v>1105</v>
      </c>
    </row>
    <row r="13" spans="1:75" ht="13.8" thickBot="1" x14ac:dyDescent="0.3">
      <c r="AM13" s="1" t="str">
        <f t="shared" si="0"/>
        <v>NBU unversichert</v>
      </c>
      <c r="BM13" s="447" t="s">
        <v>1171</v>
      </c>
    </row>
    <row r="31" spans="1:24" x14ac:dyDescent="0.25">
      <c r="A31" t="s">
        <v>813</v>
      </c>
      <c r="B31"/>
      <c r="C31" t="s">
        <v>1142</v>
      </c>
      <c r="D31"/>
      <c r="E31" t="s">
        <v>596</v>
      </c>
      <c r="F31"/>
      <c r="G31" t="s">
        <v>894</v>
      </c>
      <c r="H31"/>
      <c r="I31" t="s">
        <v>599</v>
      </c>
      <c r="J31"/>
      <c r="K31" s="1" t="s">
        <v>767</v>
      </c>
      <c r="M31" s="1" t="s">
        <v>608</v>
      </c>
      <c r="O31" s="1" t="s">
        <v>615</v>
      </c>
      <c r="Q31" s="1" t="s">
        <v>380</v>
      </c>
      <c r="S31" s="1" t="s">
        <v>337</v>
      </c>
      <c r="U31" s="1" t="s">
        <v>354</v>
      </c>
      <c r="W31" s="1" t="s">
        <v>246</v>
      </c>
    </row>
    <row r="32" spans="1:24" x14ac:dyDescent="0.25">
      <c r="A32" s="20" t="str">
        <f ca="1">OFFSET(A$3,B32,1*26,1,1)</f>
        <v>Deutsch</v>
      </c>
      <c r="B32" s="21">
        <v>1</v>
      </c>
      <c r="C32" s="20" t="str">
        <f ca="1">OFFSET(C$3,D32,1*26,1,1)</f>
        <v>Ja</v>
      </c>
      <c r="D32" s="21">
        <v>1</v>
      </c>
      <c r="E32" s="20" t="str">
        <f ca="1">OFFSET(E$3,F32,1*26,1,1)</f>
        <v>befristet</v>
      </c>
      <c r="F32" s="21">
        <v>1</v>
      </c>
      <c r="G32" s="20" t="str">
        <f ca="1">OFFSET(G$3,H32,1*26,1,1)</f>
        <v>Krankheit, Schwangerschaft mit Lohn</v>
      </c>
      <c r="H32" s="21">
        <v>1</v>
      </c>
      <c r="I32" s="20" t="str">
        <f ca="1">OFFSET(I$3,J32,1*26,1,1)</f>
        <v>Monatslohn</v>
      </c>
      <c r="J32" s="21">
        <v>1</v>
      </c>
      <c r="K32" s="20" t="str">
        <f ca="1">OFFSET(K$3,L32,1*26,1,1)</f>
        <v>Zuschlag pro geleistete Arbeitsstunde</v>
      </c>
      <c r="L32" s="35">
        <v>1</v>
      </c>
      <c r="M32" s="20" t="str">
        <f t="shared" ref="M32:M41" ca="1" si="1">OFFSET(M$3,N32,1*26,1,1)</f>
        <v>vor Anstellungsbeginn</v>
      </c>
      <c r="N32" s="6">
        <v>1</v>
      </c>
      <c r="O32" s="20" t="str">
        <f ca="1">OFFSET(O$3,P32,1*26,1,1)</f>
        <v>vor Beginn LFP</v>
      </c>
      <c r="P32" s="21">
        <v>1</v>
      </c>
      <c r="Q32" s="20" t="str">
        <f ca="1">OFFSET(Q$3,R32,1*26,1,1)</f>
        <v>Ende Woche</v>
      </c>
      <c r="R32" s="21">
        <v>1</v>
      </c>
      <c r="S32" s="20" t="str">
        <f ca="1">OFFSET(S$3,T32,1*26,1,1)</f>
        <v>Arbeitgeber</v>
      </c>
      <c r="T32" s="21">
        <v>1</v>
      </c>
      <c r="U32" s="20" t="str">
        <f ca="1">OFFSET(U$3,V32,1*26,1,1)</f>
        <v>Neues Ereignis</v>
      </c>
      <c r="V32" s="21">
        <v>1</v>
      </c>
      <c r="W32" s="20" t="str">
        <f ca="1">OFFSET(W$3,X32,1*26,1,1)</f>
        <v>Herr</v>
      </c>
      <c r="X32" s="21">
        <v>1</v>
      </c>
    </row>
    <row r="33" spans="1:24" x14ac:dyDescent="0.25">
      <c r="A33" s="22" t="str">
        <f ca="1">OFFSET(A$3,B33,1*26,1,1)</f>
        <v>Français</v>
      </c>
      <c r="B33" s="23">
        <v>2</v>
      </c>
      <c r="C33" s="22" t="str">
        <f ca="1">OFFSET(C$3,D33,1*26,1,1)</f>
        <v>Nein</v>
      </c>
      <c r="D33" s="23">
        <v>2</v>
      </c>
      <c r="E33" s="22" t="str">
        <f ca="1">OFFSET(E$3,F33,1*26,1,1)</f>
        <v>unbefristet</v>
      </c>
      <c r="F33" s="23">
        <v>2</v>
      </c>
      <c r="G33" s="22" t="str">
        <f ca="1">OFFSET(G$3,H33,1*26,1,1)</f>
        <v>Unfall</v>
      </c>
      <c r="H33" s="23">
        <v>2</v>
      </c>
      <c r="I33" s="22" t="str">
        <f ca="1">OFFSET(I$3,J33,1*26,1,1)</f>
        <v>Stundenlohn</v>
      </c>
      <c r="J33" s="23">
        <v>2</v>
      </c>
      <c r="K33" s="22" t="str">
        <f ca="1">OFFSET(K$3,L33,1*26,1,1)</f>
        <v>separate Auszahlung während Ferienbezug</v>
      </c>
      <c r="L33">
        <v>2</v>
      </c>
      <c r="M33" s="10" t="str">
        <f t="shared" ca="1" si="1"/>
        <v>nach Anstellungsende</v>
      </c>
      <c r="N33" s="11">
        <v>2</v>
      </c>
      <c r="O33" s="22" t="str">
        <f ca="1">OFFSET(O$3,P33,1*26,1,1)</f>
        <v>Ferienguthaben aufgebraucht</v>
      </c>
      <c r="P33" s="23">
        <v>2</v>
      </c>
      <c r="Q33" s="22" t="str">
        <f ca="1">OFFSET(Q$3,R33,1*26,1,1)</f>
        <v>Ende Monat</v>
      </c>
      <c r="R33" s="23">
        <v>2</v>
      </c>
      <c r="S33" s="22" t="str">
        <f ca="1">OFFSET(S$3,T33,1*26,1,1)</f>
        <v>Arbeitgeber fristlos</v>
      </c>
      <c r="T33" s="23">
        <v>2</v>
      </c>
      <c r="U33" s="22" t="str">
        <f ca="1">OFFSET(U$3,V33,1*26,1,1)</f>
        <v>Folgeereignis/Rückfall</v>
      </c>
      <c r="V33" s="23">
        <v>2</v>
      </c>
      <c r="W33" s="22" t="str">
        <f ca="1">OFFSET(W$3,X33,1*26,1,1)</f>
        <v>Frau</v>
      </c>
      <c r="X33" s="23">
        <v>2</v>
      </c>
    </row>
    <row r="34" spans="1:24" x14ac:dyDescent="0.25">
      <c r="A34" s="22">
        <f ca="1">OFFSET(A$3,B34,1*26,1,1)</f>
        <v>0</v>
      </c>
      <c r="B34" s="23">
        <v>3</v>
      </c>
      <c r="C34" s="22">
        <f ca="1">OFFSET(C$3,D34,1*26,1,1)</f>
        <v>0</v>
      </c>
      <c r="D34" s="23">
        <v>3</v>
      </c>
      <c r="E34" s="22">
        <f ca="1">OFFSET(E$3,F34,1*26,1,1)</f>
        <v>0</v>
      </c>
      <c r="F34" s="23">
        <v>3</v>
      </c>
      <c r="G34" s="22" t="str">
        <f ca="1">OFFSET(G$3,H34,1*26,1,1)</f>
        <v>Schwangerschaft (ohne Lohnanspruch)</v>
      </c>
      <c r="H34" s="23">
        <v>3</v>
      </c>
      <c r="I34" s="22">
        <f ca="1">OFFSET(I$3,J34,1*26,1,1)</f>
        <v>0</v>
      </c>
      <c r="J34" s="23">
        <v>3</v>
      </c>
      <c r="K34" s="22">
        <f ca="1">OFFSET(K$3,L34,1*26,1,1)</f>
        <v>0</v>
      </c>
      <c r="L34">
        <v>3</v>
      </c>
      <c r="M34" s="10" t="str">
        <f t="shared" ca="1" si="1"/>
        <v>Ferien</v>
      </c>
      <c r="N34" s="11">
        <v>3</v>
      </c>
      <c r="O34" s="22" t="str">
        <f ca="1">OFFSET(O$3,P34,1*26,1,1)</f>
        <v>LFP überschritten</v>
      </c>
      <c r="P34" s="23">
        <v>3</v>
      </c>
      <c r="Q34" s="22">
        <f ca="1">OFFSET(Q$3,R34,1*26,1,1)</f>
        <v>0</v>
      </c>
      <c r="R34" s="23">
        <v>3</v>
      </c>
      <c r="S34" s="22" t="str">
        <f ca="1">OFFSET(S$3,T34,1*26,1,1)</f>
        <v>Arbeitnehmer</v>
      </c>
      <c r="T34" s="23">
        <v>3</v>
      </c>
      <c r="U34" s="22">
        <f ca="1">OFFSET(U$3,V34,1*26,1,1)</f>
        <v>0</v>
      </c>
      <c r="V34" s="23">
        <v>3</v>
      </c>
      <c r="W34" s="22">
        <f ca="1">OFFSET(W$3,X34,1*26,1,1)</f>
        <v>0</v>
      </c>
      <c r="X34" s="23">
        <v>3</v>
      </c>
    </row>
    <row r="35" spans="1:24" x14ac:dyDescent="0.25">
      <c r="A35" s="22">
        <f ca="1">OFFSET(A$3,B35,1*26,1,1)</f>
        <v>0</v>
      </c>
      <c r="B35" s="23">
        <v>4</v>
      </c>
      <c r="C35" s="22">
        <f ca="1">OFFSET(C$3,D35,1*26,1,1)</f>
        <v>0</v>
      </c>
      <c r="D35" s="23">
        <v>4</v>
      </c>
      <c r="E35" s="22">
        <f ca="1">OFFSET(E$3,F35,1*26,1,1)</f>
        <v>0</v>
      </c>
      <c r="F35" s="23">
        <v>4</v>
      </c>
      <c r="G35" s="22" t="str">
        <f ca="1">OFFSET(G$3,H35,1*26,1,1)</f>
        <v xml:space="preserve"> - </v>
      </c>
      <c r="H35" s="23">
        <v>4</v>
      </c>
      <c r="I35" s="22">
        <f ca="1">OFFSET(I$3,J35,1*26,1,1)</f>
        <v>0</v>
      </c>
      <c r="J35" s="23">
        <v>4</v>
      </c>
      <c r="K35" s="22">
        <f ca="1">OFFSET(K$3,L35,1*26,1,1)</f>
        <v>0</v>
      </c>
      <c r="L35">
        <v>4</v>
      </c>
      <c r="M35" s="10" t="str">
        <f t="shared" ca="1" si="1"/>
        <v>wegen Arbeitgeber</v>
      </c>
      <c r="N35" s="11">
        <v>4</v>
      </c>
      <c r="O35" s="22">
        <f ca="1">OFFSET(O$3,P35,1*26,1,1)</f>
        <v>0</v>
      </c>
      <c r="P35" s="23">
        <v>4</v>
      </c>
      <c r="Q35" s="22">
        <f ca="1">OFFSET(Q$3,R35,1*26,1,1)</f>
        <v>0</v>
      </c>
      <c r="R35" s="23">
        <v>4</v>
      </c>
      <c r="S35" s="22" t="str">
        <f ca="1">OFFSET(S$3,T35,1*26,1,1)</f>
        <v>in gegenseitigem Einvernehmen</v>
      </c>
      <c r="T35" s="23">
        <v>4</v>
      </c>
      <c r="U35" s="22">
        <f ca="1">OFFSET(U$3,V35,1*26,1,1)</f>
        <v>0</v>
      </c>
      <c r="V35" s="23">
        <v>4</v>
      </c>
      <c r="W35" s="22">
        <f ca="1">OFFSET(W$3,X35,1*26,1,1)</f>
        <v>0</v>
      </c>
      <c r="X35" s="23">
        <v>4</v>
      </c>
    </row>
    <row r="36" spans="1:24" x14ac:dyDescent="0.25">
      <c r="A36" s="22">
        <f ca="1">OFFSET(A$3,B36,1*26,1,1)</f>
        <v>0</v>
      </c>
      <c r="B36" s="23">
        <v>5</v>
      </c>
      <c r="C36" s="22">
        <f ca="1">OFFSET(C$3,D36,1*26,1,1)</f>
        <v>0</v>
      </c>
      <c r="D36" s="23">
        <v>5</v>
      </c>
      <c r="E36" s="22">
        <f ca="1">OFFSET(E$3,F36,1*26,1,1)</f>
        <v>0</v>
      </c>
      <c r="F36" s="23">
        <v>5</v>
      </c>
      <c r="G36" s="22" t="str">
        <f ca="1">OFFSET(G$3,H36,1*26,1,1)</f>
        <v>Mutterschaft</v>
      </c>
      <c r="H36" s="23">
        <v>5</v>
      </c>
      <c r="I36" s="22">
        <f ca="1">OFFSET(I$3,J36,1*26,1,1)</f>
        <v>0</v>
      </c>
      <c r="J36" s="23">
        <v>5</v>
      </c>
      <c r="K36" s="22">
        <f ca="1">OFFSET(K$3,L36,1*26,1,1)</f>
        <v>0</v>
      </c>
      <c r="L36">
        <v>5</v>
      </c>
      <c r="M36" s="10" t="str">
        <f t="shared" ca="1" si="1"/>
        <v>Krankheit, Schwangerschaft mit Lohn</v>
      </c>
      <c r="N36" s="11">
        <v>5</v>
      </c>
      <c r="O36" s="22">
        <f ca="1">OFFSET(O$3,P36,1*26,1,1)</f>
        <v>0</v>
      </c>
      <c r="P36" s="23">
        <v>5</v>
      </c>
      <c r="Q36" s="22">
        <f ca="1">OFFSET(Q$3,R36,1*26,1,1)</f>
        <v>0</v>
      </c>
      <c r="R36" s="23">
        <v>5</v>
      </c>
      <c r="S36" s="22">
        <f ca="1">OFFSET(S$3,T36,1*26,1,1)</f>
        <v>0</v>
      </c>
      <c r="T36" s="23">
        <v>5</v>
      </c>
      <c r="U36" s="22">
        <f ca="1">OFFSET(U$3,V36,1*26,1,1)</f>
        <v>0</v>
      </c>
      <c r="V36" s="23">
        <v>5</v>
      </c>
      <c r="W36" s="22">
        <f ca="1">OFFSET(W$3,X36,1*26,1,1)</f>
        <v>0</v>
      </c>
      <c r="X36" s="23">
        <v>5</v>
      </c>
    </row>
    <row r="37" spans="1:24" x14ac:dyDescent="0.25">
      <c r="A37" s="22" t="str">
        <f ca="1">OFFSET(A$3,B37,2*26,1,1)</f>
        <v>Deutsch</v>
      </c>
      <c r="B37" s="23">
        <v>1</v>
      </c>
      <c r="C37" s="22" t="str">
        <f ca="1">OFFSET(C$3,D37,2*26,1,1)</f>
        <v>Oui</v>
      </c>
      <c r="D37" s="23">
        <v>1</v>
      </c>
      <c r="E37" s="22" t="str">
        <f ca="1">OFFSET(E$3,F37,2*26,1,1)</f>
        <v>Déterminé</v>
      </c>
      <c r="F37" s="23">
        <v>1</v>
      </c>
      <c r="G37" s="22" t="str">
        <f ca="1">OFFSET(G$3,H37,2*26,1,1)</f>
        <v>Maladie</v>
      </c>
      <c r="H37" s="23">
        <v>1</v>
      </c>
      <c r="I37" s="22" t="str">
        <f ca="1">OFFSET(I$3,J37,2*26,1,1)</f>
        <v>Salaire mensuel</v>
      </c>
      <c r="J37" s="23">
        <v>1</v>
      </c>
      <c r="K37" s="22" t="str">
        <f ca="1">OFFSET(K$3,L37,2*26,1,1)</f>
        <v>Supplément pour heures de travail accomplies</v>
      </c>
      <c r="L37">
        <v>1</v>
      </c>
      <c r="M37" s="10" t="str">
        <f t="shared" ca="1" si="1"/>
        <v>Unfall</v>
      </c>
      <c r="N37" s="11">
        <v>6</v>
      </c>
      <c r="O37" s="22" t="str">
        <f ca="1">OFFSET(O$3,P37,2*26,1,1)</f>
        <v>avant le début LFP</v>
      </c>
      <c r="P37" s="23">
        <v>1</v>
      </c>
      <c r="Q37" s="22" t="str">
        <f ca="1">OFFSET(Q$3,R37,2*26,1,1)</f>
        <v>Fin de la semaine</v>
      </c>
      <c r="R37" s="23">
        <v>1</v>
      </c>
      <c r="S37" s="22" t="str">
        <f ca="1">OFFSET(S$3,T37,2*26,1,1)</f>
        <v>Employeur</v>
      </c>
      <c r="T37" s="23">
        <v>1</v>
      </c>
      <c r="U37" s="22" t="str">
        <f ca="1">OFFSET(U$3,V37,2*26,1,1)</f>
        <v>Nouvel événement</v>
      </c>
      <c r="V37" s="23">
        <v>1</v>
      </c>
      <c r="W37" s="22" t="str">
        <f ca="1">OFFSET(W$3,X37,2*26,1,1)</f>
        <v>Monsieur</v>
      </c>
      <c r="X37" s="23">
        <v>1</v>
      </c>
    </row>
    <row r="38" spans="1:24" x14ac:dyDescent="0.25">
      <c r="A38" s="22" t="str">
        <f ca="1">OFFSET(A$3,B38,2*26,1,1)</f>
        <v>Français</v>
      </c>
      <c r="B38" s="23">
        <v>2</v>
      </c>
      <c r="C38" s="22" t="str">
        <f ca="1">OFFSET(C$3,D38,2*26,1,1)</f>
        <v>Non</v>
      </c>
      <c r="D38" s="23">
        <v>2</v>
      </c>
      <c r="E38" s="22" t="str">
        <f ca="1">OFFSET(E$3,F38,2*26,1,1)</f>
        <v>Indéterminé</v>
      </c>
      <c r="F38" s="23">
        <v>2</v>
      </c>
      <c r="G38" s="22" t="str">
        <f ca="1">OFFSET(G$3,H38,2*26,1,1)</f>
        <v>Accident</v>
      </c>
      <c r="H38" s="23">
        <v>2</v>
      </c>
      <c r="I38" s="22" t="str">
        <f ca="1">OFFSET(I$3,J38,2*26,1,1)</f>
        <v>Salaire horaire</v>
      </c>
      <c r="J38" s="23">
        <v>2</v>
      </c>
      <c r="K38" s="22" t="str">
        <f ca="1">OFFSET(K$3,L38,2*26,1,1)</f>
        <v>Paiement séparé en cas de vacances</v>
      </c>
      <c r="L38">
        <v>2</v>
      </c>
      <c r="M38" s="10" t="str">
        <f t="shared" ca="1" si="1"/>
        <v>Schwangerschaft (ohne Lohnanspruch)</v>
      </c>
      <c r="N38" s="11">
        <v>7</v>
      </c>
      <c r="O38" s="22" t="str">
        <f ca="1">OFFSET(O$3,P38,2*26,1,1)</f>
        <v>Avoir de vacances utilisés aufgebraucht</v>
      </c>
      <c r="P38" s="23">
        <v>2</v>
      </c>
      <c r="Q38" s="22" t="str">
        <f ca="1">OFFSET(Q$3,R38,2*26,1,1)</f>
        <v>Fin du mois</v>
      </c>
      <c r="R38" s="23">
        <v>2</v>
      </c>
      <c r="S38" s="22" t="str">
        <f ca="1">OFFSET(S$3,T38,2*26,1,1)</f>
        <v>Employeur sans délai</v>
      </c>
      <c r="T38" s="23">
        <v>2</v>
      </c>
      <c r="U38" s="22" t="str">
        <f ca="1">OFFSET(U$3,V38,2*26,1,1)</f>
        <v>Retour</v>
      </c>
      <c r="V38" s="23">
        <v>2</v>
      </c>
      <c r="W38" s="22" t="str">
        <f ca="1">OFFSET(W$3,X38,2*26,1,1)</f>
        <v>Madame</v>
      </c>
      <c r="X38" s="23">
        <v>2</v>
      </c>
    </row>
    <row r="39" spans="1:24" x14ac:dyDescent="0.25">
      <c r="A39" s="22">
        <f ca="1">OFFSET(A$3,B39,2*26,1,1)</f>
        <v>0</v>
      </c>
      <c r="B39" s="23">
        <v>3</v>
      </c>
      <c r="C39" s="22">
        <f ca="1">OFFSET(C$3,D39,2*26,1,1)</f>
        <v>0</v>
      </c>
      <c r="D39" s="23">
        <v>3</v>
      </c>
      <c r="E39" s="22">
        <f ca="1">OFFSET(E$3,F39,2*26,1,1)</f>
        <v>0</v>
      </c>
      <c r="F39" s="23">
        <v>3</v>
      </c>
      <c r="G39" s="22" t="str">
        <f ca="1">OFFSET(G$3,H39,2*26,1,1)</f>
        <v>Grossesse</v>
      </c>
      <c r="H39" s="23">
        <v>3</v>
      </c>
      <c r="I39" s="22">
        <f ca="1">OFFSET(I$3,J39,2*26,1,1)</f>
        <v>0</v>
      </c>
      <c r="J39" s="23">
        <v>3</v>
      </c>
      <c r="K39" s="22">
        <f ca="1">OFFSET(K$3,L39,2*26,1,1)</f>
        <v>0</v>
      </c>
      <c r="L39">
        <v>3</v>
      </c>
      <c r="M39" s="10" t="str">
        <f t="shared" ca="1" si="1"/>
        <v xml:space="preserve"> - </v>
      </c>
      <c r="N39" s="11">
        <v>8</v>
      </c>
      <c r="O39" s="22" t="str">
        <f ca="1">OFFSET(O$3,P39,2*26,1,1)</f>
        <v>LFP dépassé</v>
      </c>
      <c r="P39" s="23">
        <v>3</v>
      </c>
      <c r="Q39" s="22">
        <f ca="1">OFFSET(Q$3,R39,2*26,1,1)</f>
        <v>0</v>
      </c>
      <c r="R39" s="23">
        <v>3</v>
      </c>
      <c r="S39" s="22" t="str">
        <f ca="1">OFFSET(S$3,T39,2*26,1,1)</f>
        <v>Employé</v>
      </c>
      <c r="T39" s="23">
        <v>3</v>
      </c>
      <c r="U39" s="22">
        <f ca="1">OFFSET(U$3,V39,2*26,1,1)</f>
        <v>0</v>
      </c>
      <c r="V39" s="23">
        <v>3</v>
      </c>
      <c r="W39" s="22">
        <f ca="1">OFFSET(W$3,X39,2*26,1,1)</f>
        <v>0</v>
      </c>
      <c r="X39" s="23">
        <v>3</v>
      </c>
    </row>
    <row r="40" spans="1:24" x14ac:dyDescent="0.25">
      <c r="A40" s="22">
        <f ca="1">OFFSET(A$3,B40,2*26,1,1)</f>
        <v>0</v>
      </c>
      <c r="B40" s="23">
        <v>4</v>
      </c>
      <c r="C40" s="22">
        <f ca="1">OFFSET(C$3,D40,2*26,1,1)</f>
        <v>0</v>
      </c>
      <c r="D40" s="23">
        <v>4</v>
      </c>
      <c r="E40" s="22">
        <f ca="1">OFFSET(E$3,F40,2*26,1,1)</f>
        <v>0</v>
      </c>
      <c r="F40" s="23">
        <v>4</v>
      </c>
      <c r="G40" s="22" t="str">
        <f ca="1">OFFSET(G$3,H40,2*26,1,1)</f>
        <v xml:space="preserve"> - </v>
      </c>
      <c r="H40" s="23">
        <v>4</v>
      </c>
      <c r="I40" s="22">
        <f ca="1">OFFSET(I$3,J40,2*26,1,1)</f>
        <v>0</v>
      </c>
      <c r="J40" s="23">
        <v>4</v>
      </c>
      <c r="K40" s="22">
        <f ca="1">OFFSET(K$3,L40,2*26,1,1)</f>
        <v>0</v>
      </c>
      <c r="L40">
        <v>4</v>
      </c>
      <c r="M40" s="10" t="str">
        <f ca="1">OFFSET(M$3,N40,1*26,1,1)</f>
        <v>Mutterschaft</v>
      </c>
      <c r="N40" s="11">
        <v>9</v>
      </c>
      <c r="O40" s="22">
        <f ca="1">OFFSET(O$3,P40,2*26,1,1)</f>
        <v>0</v>
      </c>
      <c r="P40" s="23">
        <v>4</v>
      </c>
      <c r="Q40" s="22">
        <f ca="1">OFFSET(Q$3,R40,2*26,1,1)</f>
        <v>0</v>
      </c>
      <c r="R40" s="23">
        <v>4</v>
      </c>
      <c r="S40" s="22" t="str">
        <f ca="1">OFFSET(S$3,T40,2*26,1,1)</f>
        <v>D'un commun accord</v>
      </c>
      <c r="T40" s="23">
        <v>4</v>
      </c>
      <c r="U40" s="22">
        <f ca="1">OFFSET(U$3,V40,2*26,1,1)</f>
        <v>0</v>
      </c>
      <c r="V40" s="23">
        <v>4</v>
      </c>
      <c r="W40" s="22">
        <f ca="1">OFFSET(W$3,X40,2*26,1,1)</f>
        <v>0</v>
      </c>
      <c r="X40" s="23">
        <v>4</v>
      </c>
    </row>
    <row r="41" spans="1:24" x14ac:dyDescent="0.25">
      <c r="A41" s="22">
        <f ca="1">OFFSET(A$3,B41,2*26,1,1)</f>
        <v>0</v>
      </c>
      <c r="B41" s="23">
        <v>5</v>
      </c>
      <c r="C41" s="24">
        <f ca="1">OFFSET(C$3,D41,2*26,1,1)</f>
        <v>0</v>
      </c>
      <c r="D41" s="25">
        <v>5</v>
      </c>
      <c r="E41" s="22">
        <f ca="1">OFFSET(E$3,F41,2*26,1,1)</f>
        <v>0</v>
      </c>
      <c r="F41" s="23">
        <v>5</v>
      </c>
      <c r="G41" s="24" t="str">
        <f ca="1">OFFSET(G$3,H41,2*26,1,1)</f>
        <v>Maternité</v>
      </c>
      <c r="H41" s="25">
        <v>5</v>
      </c>
      <c r="I41" s="22">
        <f ca="1">OFFSET(I$3,J41,2*26,1,1)</f>
        <v>0</v>
      </c>
      <c r="J41" s="23">
        <v>5</v>
      </c>
      <c r="K41" s="22">
        <f ca="1">OFFSET(K$3,L41,2*26,1,1)</f>
        <v>0</v>
      </c>
      <c r="L41">
        <v>5</v>
      </c>
      <c r="M41" s="10" t="str">
        <f t="shared" ca="1" si="1"/>
        <v>NBU unversichert</v>
      </c>
      <c r="N41" s="11">
        <v>10</v>
      </c>
      <c r="O41" s="24">
        <f ca="1">OFFSET(O$3,P41,2*26,1,1)</f>
        <v>0</v>
      </c>
      <c r="P41" s="25">
        <v>5</v>
      </c>
      <c r="Q41" s="24">
        <f ca="1">OFFSET(Q$3,R41,2*26,1,1)</f>
        <v>0</v>
      </c>
      <c r="R41" s="25">
        <v>5</v>
      </c>
      <c r="S41" s="24">
        <f ca="1">OFFSET(S$3,T41,2*26,1,1)</f>
        <v>0</v>
      </c>
      <c r="T41" s="25">
        <v>5</v>
      </c>
      <c r="U41" s="24">
        <f ca="1">OFFSET(U$3,V41,2*26,1,1)</f>
        <v>0</v>
      </c>
      <c r="V41" s="25">
        <v>5</v>
      </c>
      <c r="W41" s="24">
        <f ca="1">OFFSET(W$3,X41,2*26,1,1)</f>
        <v>0</v>
      </c>
      <c r="X41" s="25">
        <v>5</v>
      </c>
    </row>
    <row r="42" spans="1:24" x14ac:dyDescent="0.25">
      <c r="A42" s="4" t="s">
        <v>814</v>
      </c>
      <c r="B42" s="6" t="str">
        <f>Intro!$A$7</f>
        <v>Deutsch</v>
      </c>
      <c r="E42" s="4" t="s">
        <v>939</v>
      </c>
      <c r="F42" s="79" t="str">
        <f ca="1">'  B  '!C45</f>
        <v>unbefristet</v>
      </c>
      <c r="I42" s="4" t="s">
        <v>801</v>
      </c>
      <c r="J42" s="6" t="str">
        <f ca="1">N_Lohnart</f>
        <v>Monatslohn</v>
      </c>
      <c r="K42" s="4" t="s">
        <v>85</v>
      </c>
      <c r="L42" s="6" t="str">
        <f ca="1">'  B  '!C63</f>
        <v>Zuschlag pro geleistete Arbeitsstunde</v>
      </c>
      <c r="M42" s="10" t="str">
        <f ca="1">OFFSET(M$3,N42,2*26,1,1)</f>
        <v>Avant le début de l'engagement</v>
      </c>
      <c r="N42" s="11">
        <v>1</v>
      </c>
      <c r="S42" s="10" t="s">
        <v>580</v>
      </c>
      <c r="T42" s="11" t="str">
        <f>N_GekündigtVon</f>
        <v/>
      </c>
    </row>
    <row r="43" spans="1:24" x14ac:dyDescent="0.25">
      <c r="A43" s="12" t="s">
        <v>815</v>
      </c>
      <c r="B43" s="13">
        <f ca="1">IF(ISERROR(VLOOKUP(B42,A32:B41,2,0)),0,VLOOKUP(B42,A32:B41,2,0))</f>
        <v>1</v>
      </c>
      <c r="E43" s="12" t="s">
        <v>938</v>
      </c>
      <c r="F43" s="13">
        <f ca="1">IF(ISERROR(VLOOKUP(F42,E32:F41,2,0)),0,VLOOKUP(F42,E32:F41,2,0))</f>
        <v>2</v>
      </c>
      <c r="I43" s="12" t="s">
        <v>802</v>
      </c>
      <c r="J43" s="13">
        <f ca="1">IF(ISERROR(VLOOKUP(N_Lohnart,A_Lohnart_Auswahl,2,0)),0,VLOOKUP(N_Lohnart,A_Lohnart_Auswahl,2,0))</f>
        <v>1</v>
      </c>
      <c r="K43" s="12" t="s">
        <v>86</v>
      </c>
      <c r="L43" s="13">
        <f ca="1">IF(ISERROR(VLOOKUP(L42,A_Ferien_ArtAuszahlung_Auswahl,2,0)),0,VLOOKUP(L42,A_Ferien_ArtAuszahlung_Auswahl,2,0))</f>
        <v>1</v>
      </c>
      <c r="M43" s="10" t="str">
        <f t="shared" ref="M43:M51" ca="1" si="2">OFFSET(M$3,N43,2*26,1,1)</f>
        <v>Après la fin de l'engagement</v>
      </c>
      <c r="N43" s="11">
        <v>2</v>
      </c>
      <c r="S43" s="12" t="s">
        <v>579</v>
      </c>
      <c r="T43" s="13">
        <f ca="1">IF(ISERROR(VLOOKUP(T42,S32:T41,2,0)),0,VLOOKUP(T42,S32:T41,2,0))</f>
        <v>0</v>
      </c>
    </row>
    <row r="44" spans="1:24" x14ac:dyDescent="0.25">
      <c r="M44" s="10" t="str">
        <f t="shared" ca="1" si="2"/>
        <v>Vacances</v>
      </c>
      <c r="N44" s="11">
        <v>3</v>
      </c>
    </row>
    <row r="45" spans="1:24" x14ac:dyDescent="0.25">
      <c r="M45" s="10" t="str">
        <f t="shared" ca="1" si="2"/>
        <v>à cause de l'employeur</v>
      </c>
      <c r="N45" s="11">
        <v>4</v>
      </c>
    </row>
    <row r="46" spans="1:24" x14ac:dyDescent="0.25">
      <c r="M46" s="10" t="str">
        <f t="shared" ca="1" si="2"/>
        <v>Maladie</v>
      </c>
      <c r="N46" s="11">
        <v>5</v>
      </c>
    </row>
    <row r="47" spans="1:24" x14ac:dyDescent="0.25">
      <c r="M47" s="10" t="str">
        <f t="shared" ca="1" si="2"/>
        <v>Accident</v>
      </c>
      <c r="N47" s="11">
        <v>6</v>
      </c>
    </row>
    <row r="48" spans="1:24" x14ac:dyDescent="0.25">
      <c r="M48" s="10" t="str">
        <f t="shared" ca="1" si="2"/>
        <v>Grossesse</v>
      </c>
      <c r="N48" s="11">
        <v>7</v>
      </c>
    </row>
    <row r="49" spans="13:14" x14ac:dyDescent="0.25">
      <c r="M49" s="10" t="str">
        <f t="shared" ca="1" si="2"/>
        <v xml:space="preserve"> - </v>
      </c>
      <c r="N49" s="11">
        <v>8</v>
      </c>
    </row>
    <row r="50" spans="13:14" x14ac:dyDescent="0.25">
      <c r="M50" s="10" t="str">
        <f t="shared" ca="1" si="2"/>
        <v>Maternité</v>
      </c>
      <c r="N50" s="11">
        <v>9</v>
      </c>
    </row>
    <row r="51" spans="13:14" x14ac:dyDescent="0.25">
      <c r="M51" s="12" t="str">
        <f t="shared" ca="1" si="2"/>
        <v>Pas assuré LAANP</v>
      </c>
      <c r="N51" s="13">
        <v>10</v>
      </c>
    </row>
    <row r="66" spans="1:61" ht="13.8" thickBot="1" x14ac:dyDescent="0.3">
      <c r="A66" s="1" t="s">
        <v>251</v>
      </c>
      <c r="E66" s="1" t="s">
        <v>862</v>
      </c>
      <c r="G66" s="1" t="s">
        <v>959</v>
      </c>
      <c r="I66" s="1" t="s">
        <v>512</v>
      </c>
      <c r="AA66" s="1" t="s">
        <v>252</v>
      </c>
      <c r="AE66" s="1" t="s">
        <v>863</v>
      </c>
      <c r="AG66" s="1" t="s">
        <v>960</v>
      </c>
      <c r="AI66" s="1" t="s">
        <v>513</v>
      </c>
      <c r="BA66" s="445" t="s">
        <v>1106</v>
      </c>
      <c r="BE66" s="445" t="s">
        <v>862</v>
      </c>
      <c r="BG66" s="445" t="s">
        <v>960</v>
      </c>
      <c r="BI66" s="445" t="s">
        <v>513</v>
      </c>
    </row>
    <row r="67" spans="1:61" x14ac:dyDescent="0.25">
      <c r="A67" s="29" t="str">
        <f ca="1">OFFSET(A67,0,N_Sprache*26,1)</f>
        <v>Dezember</v>
      </c>
      <c r="C67" s="29">
        <f t="shared" ref="C67:C72" ca="1" si="3">OFFSET(C67,0,N_Sprache*26,1)</f>
        <v>0</v>
      </c>
      <c r="E67" s="29" t="str">
        <f ca="1">OFFSET(E67,0,N_Sprache*26,1)</f>
        <v>Stunden pro Woche</v>
      </c>
      <c r="G67" s="29" t="str">
        <f ca="1">OFFSET(G67,0,N_Sprache*26,1)</f>
        <v>je Krankheitsfall</v>
      </c>
      <c r="I67" s="29" t="str">
        <f ca="1">OFFSET(I67,0,N_Sprache*26,1)</f>
        <v>Berufsunfall</v>
      </c>
      <c r="AA67" s="26" t="s">
        <v>253</v>
      </c>
      <c r="AC67" s="29"/>
      <c r="AE67" s="29" t="s">
        <v>877</v>
      </c>
      <c r="AG67" s="29" t="s">
        <v>961</v>
      </c>
      <c r="AI67" s="29" t="s">
        <v>518</v>
      </c>
      <c r="BA67" s="446" t="s">
        <v>1107</v>
      </c>
      <c r="BE67" s="446" t="s">
        <v>1172</v>
      </c>
      <c r="BF67" s="96"/>
      <c r="BG67" s="446" t="s">
        <v>1173</v>
      </c>
      <c r="BH67" s="96"/>
      <c r="BI67" s="446" t="s">
        <v>1174</v>
      </c>
    </row>
    <row r="68" spans="1:61" ht="13.8" thickBot="1" x14ac:dyDescent="0.3">
      <c r="A68" s="30" t="str">
        <f ca="1">OFFSET(A68,0,N_Sprache*26,1)</f>
        <v>Juni / Dezember</v>
      </c>
      <c r="C68" s="17">
        <f t="shared" ca="1" si="3"/>
        <v>0</v>
      </c>
      <c r="E68" s="30" t="str">
        <f ca="1">OFFSET(E68,0,N_Sprache*26,1)</f>
        <v>Stunden pro Monat</v>
      </c>
      <c r="G68" s="30" t="str">
        <f ca="1">OFFSET(G68,0,N_Sprache*26,1)</f>
        <v>je Dienstjahr</v>
      </c>
      <c r="I68" s="30" t="str">
        <f ca="1">OFFSET(I68,0,N_Sprache*26,1)</f>
        <v>Nichtberufsunfall</v>
      </c>
      <c r="AA68" s="28" t="s">
        <v>254</v>
      </c>
      <c r="AC68" s="17"/>
      <c r="AE68" s="30" t="s">
        <v>623</v>
      </c>
      <c r="AG68" s="30" t="s">
        <v>962</v>
      </c>
      <c r="AI68" s="30" t="s">
        <v>948</v>
      </c>
      <c r="BA68" s="447" t="s">
        <v>1108</v>
      </c>
      <c r="BE68" s="447" t="s">
        <v>1175</v>
      </c>
      <c r="BF68" s="96"/>
      <c r="BG68" s="447" t="s">
        <v>1176</v>
      </c>
      <c r="BH68" s="96"/>
      <c r="BI68" s="447" t="s">
        <v>1177</v>
      </c>
    </row>
    <row r="69" spans="1:61" x14ac:dyDescent="0.25">
      <c r="C69" s="17">
        <f t="shared" ca="1" si="3"/>
        <v>0</v>
      </c>
      <c r="AC69" s="17"/>
    </row>
    <row r="70" spans="1:61" x14ac:dyDescent="0.25">
      <c r="C70" s="17">
        <f t="shared" ca="1" si="3"/>
        <v>0</v>
      </c>
      <c r="AC70" s="17"/>
    </row>
    <row r="71" spans="1:61" x14ac:dyDescent="0.25">
      <c r="C71" s="17">
        <f t="shared" ca="1" si="3"/>
        <v>0</v>
      </c>
      <c r="AC71" s="17"/>
    </row>
    <row r="72" spans="1:61" ht="13.8" thickBot="1" x14ac:dyDescent="0.3">
      <c r="C72" s="30">
        <f t="shared" ca="1" si="3"/>
        <v>0</v>
      </c>
      <c r="AC72" s="30"/>
    </row>
    <row r="85" spans="1:10" x14ac:dyDescent="0.25">
      <c r="A85" t="s">
        <v>772</v>
      </c>
      <c r="B85"/>
      <c r="E85" t="s">
        <v>863</v>
      </c>
      <c r="F85"/>
      <c r="G85" t="s">
        <v>960</v>
      </c>
      <c r="H85"/>
      <c r="I85" t="s">
        <v>514</v>
      </c>
      <c r="J85"/>
    </row>
    <row r="86" spans="1:10" x14ac:dyDescent="0.25">
      <c r="A86" s="20" t="str">
        <f ca="1">OFFSET(A$66,B86,1*26,1,1)</f>
        <v>Dezember</v>
      </c>
      <c r="B86" s="21">
        <v>1</v>
      </c>
      <c r="C86" s="20">
        <f ca="1">OFFSET(C$66,D86,1*26,1,1)</f>
        <v>0</v>
      </c>
      <c r="D86" s="6">
        <v>1</v>
      </c>
      <c r="E86" s="20" t="str">
        <f ca="1">OFFSET(E$66,F86,1*26,1,1)</f>
        <v>Stunden pro Woche</v>
      </c>
      <c r="F86" s="21">
        <v>1</v>
      </c>
      <c r="G86" s="20" t="str">
        <f ca="1">OFFSET(G$66,H86,1*26,1,1)</f>
        <v>je Krankheitsfall</v>
      </c>
      <c r="H86" s="21">
        <v>1</v>
      </c>
      <c r="I86" s="20" t="str">
        <f ca="1">OFFSET(I$66,J86,1*26,1,1)</f>
        <v>Berufsunfall</v>
      </c>
      <c r="J86" s="21">
        <v>1</v>
      </c>
    </row>
    <row r="87" spans="1:10" x14ac:dyDescent="0.25">
      <c r="A87" s="22" t="str">
        <f ca="1">OFFSET(A$66,B87,1*26,1,1)</f>
        <v>Juni / Dezember</v>
      </c>
      <c r="B87" s="23">
        <v>2</v>
      </c>
      <c r="C87" s="10">
        <f t="shared" ref="C87:C95" ca="1" si="4">OFFSET(C$66,D87,1*26,1,1)</f>
        <v>0</v>
      </c>
      <c r="D87" s="11">
        <v>2</v>
      </c>
      <c r="E87" s="22" t="str">
        <f ca="1">OFFSET(E$66,F87,1*26,1,1)</f>
        <v>Stunden pro Monat</v>
      </c>
      <c r="F87" s="23">
        <v>2</v>
      </c>
      <c r="G87" s="22" t="str">
        <f ca="1">OFFSET(G$66,H87,1*26,1,1)</f>
        <v>je Dienstjahr</v>
      </c>
      <c r="H87" s="23">
        <v>2</v>
      </c>
      <c r="I87" s="22" t="str">
        <f ca="1">OFFSET(I$66,J87,1*26,1,1)</f>
        <v>Nichtberufsunfall</v>
      </c>
      <c r="J87" s="23">
        <v>2</v>
      </c>
    </row>
    <row r="88" spans="1:10" x14ac:dyDescent="0.25">
      <c r="A88" s="22">
        <f ca="1">OFFSET(A$66,B88,1*26,1,1)</f>
        <v>0</v>
      </c>
      <c r="B88" s="23">
        <v>3</v>
      </c>
      <c r="C88" s="10">
        <f t="shared" ca="1" si="4"/>
        <v>0</v>
      </c>
      <c r="D88" s="11">
        <v>3</v>
      </c>
      <c r="E88" s="22">
        <f ca="1">OFFSET(E$66,F88,1*26,1,1)</f>
        <v>0</v>
      </c>
      <c r="F88" s="23">
        <v>3</v>
      </c>
      <c r="G88" s="22">
        <f ca="1">OFFSET(G$66,H88,1*26,1,1)</f>
        <v>0</v>
      </c>
      <c r="H88" s="23">
        <v>3</v>
      </c>
      <c r="I88" s="22">
        <f ca="1">OFFSET(I$66,J88,1*26,1,1)</f>
        <v>0</v>
      </c>
      <c r="J88" s="23">
        <v>3</v>
      </c>
    </row>
    <row r="89" spans="1:10" x14ac:dyDescent="0.25">
      <c r="A89" s="22">
        <f ca="1">OFFSET(A$66,B89,1*26,1,1)</f>
        <v>0</v>
      </c>
      <c r="B89" s="23">
        <v>4</v>
      </c>
      <c r="C89" s="10">
        <f t="shared" ca="1" si="4"/>
        <v>0</v>
      </c>
      <c r="D89" s="11">
        <v>4</v>
      </c>
      <c r="E89" s="22">
        <f ca="1">OFFSET(E$66,F89,1*26,1,1)</f>
        <v>0</v>
      </c>
      <c r="F89" s="23">
        <v>4</v>
      </c>
      <c r="G89" s="22">
        <f ca="1">OFFSET(G$66,H89,1*26,1,1)</f>
        <v>0</v>
      </c>
      <c r="H89" s="23">
        <v>4</v>
      </c>
      <c r="I89" s="22">
        <f ca="1">OFFSET(I$66,J89,1*26,1,1)</f>
        <v>0</v>
      </c>
      <c r="J89" s="23">
        <v>4</v>
      </c>
    </row>
    <row r="90" spans="1:10" x14ac:dyDescent="0.25">
      <c r="A90" s="22">
        <f ca="1">OFFSET(A$66,B90,1*26,1,1)</f>
        <v>0</v>
      </c>
      <c r="B90" s="23">
        <v>5</v>
      </c>
      <c r="C90" s="10">
        <f t="shared" ca="1" si="4"/>
        <v>0</v>
      </c>
      <c r="D90" s="11">
        <v>5</v>
      </c>
      <c r="E90" s="22">
        <f ca="1">OFFSET(E$66,F90,1*26,1,1)</f>
        <v>0</v>
      </c>
      <c r="F90" s="23">
        <v>5</v>
      </c>
      <c r="G90" s="22">
        <f ca="1">OFFSET(G$66,H90,1*26,1,1)</f>
        <v>0</v>
      </c>
      <c r="H90" s="23">
        <v>5</v>
      </c>
      <c r="I90" s="22">
        <f ca="1">OFFSET(I$66,J90,1*26,1,1)</f>
        <v>0</v>
      </c>
      <c r="J90" s="23">
        <v>5</v>
      </c>
    </row>
    <row r="91" spans="1:10" x14ac:dyDescent="0.25">
      <c r="A91" s="22" t="str">
        <f ca="1">OFFSET(A$66,B91,2*26,1,1)</f>
        <v>Décembre</v>
      </c>
      <c r="B91" s="23">
        <v>1</v>
      </c>
      <c r="C91" s="10">
        <f t="shared" ca="1" si="4"/>
        <v>0</v>
      </c>
      <c r="D91" s="11">
        <v>6</v>
      </c>
      <c r="E91" s="22" t="str">
        <f ca="1">OFFSET(E$66,F91,2*26,1,1)</f>
        <v>heures hebdomadaires</v>
      </c>
      <c r="F91" s="23">
        <v>1</v>
      </c>
      <c r="G91" s="22" t="str">
        <f ca="1">OFFSET(G$66,H91,2*26,1,1)</f>
        <v>par cas de maladie (français)</v>
      </c>
      <c r="H91" s="23">
        <v>1</v>
      </c>
      <c r="I91" s="22" t="str">
        <f ca="1">OFFSET(I$66,J91,2*26,1,1)</f>
        <v>Accident professionnel</v>
      </c>
      <c r="J91" s="23">
        <v>1</v>
      </c>
    </row>
    <row r="92" spans="1:10" x14ac:dyDescent="0.25">
      <c r="A92" s="22" t="str">
        <f ca="1">OFFSET(A$66,B92,2*26,1,1)</f>
        <v>Juin/Décembre</v>
      </c>
      <c r="B92" s="23">
        <v>2</v>
      </c>
      <c r="C92" s="10">
        <f t="shared" ca="1" si="4"/>
        <v>0</v>
      </c>
      <c r="D92" s="11">
        <v>7</v>
      </c>
      <c r="E92" s="22" t="str">
        <f ca="1">OFFSET(E$66,F92,2*26,1,1)</f>
        <v>heures mensuelles</v>
      </c>
      <c r="F92" s="23">
        <v>2</v>
      </c>
      <c r="G92" s="22" t="str">
        <f ca="1">OFFSET(G$66,H92,2*26,1,1)</f>
        <v>par année de service</v>
      </c>
      <c r="H92" s="23">
        <v>2</v>
      </c>
      <c r="I92" s="22" t="str">
        <f ca="1">OFFSET(I$66,J92,2*26,1,1)</f>
        <v>Accident non professionnel</v>
      </c>
      <c r="J92" s="23">
        <v>2</v>
      </c>
    </row>
    <row r="93" spans="1:10" x14ac:dyDescent="0.25">
      <c r="A93" s="22">
        <f ca="1">OFFSET(A$66,B93,2*26,1,1)</f>
        <v>0</v>
      </c>
      <c r="B93" s="23">
        <v>3</v>
      </c>
      <c r="C93" s="10">
        <f t="shared" ca="1" si="4"/>
        <v>0</v>
      </c>
      <c r="D93" s="11">
        <v>8</v>
      </c>
      <c r="E93" s="22">
        <f ca="1">OFFSET(E$66,F93,2*26,1,1)</f>
        <v>0</v>
      </c>
      <c r="F93" s="23">
        <v>3</v>
      </c>
      <c r="G93" s="22">
        <f ca="1">OFFSET(G$66,H93,2*26,1,1)</f>
        <v>0</v>
      </c>
      <c r="H93" s="23">
        <v>3</v>
      </c>
      <c r="I93" s="22">
        <f ca="1">OFFSET(I$66,J93,2*26,1,1)</f>
        <v>0</v>
      </c>
      <c r="J93" s="23">
        <v>3</v>
      </c>
    </row>
    <row r="94" spans="1:10" x14ac:dyDescent="0.25">
      <c r="A94" s="22">
        <f ca="1">OFFSET(A$66,B94,2*26,1,1)</f>
        <v>0</v>
      </c>
      <c r="B94" s="23">
        <v>4</v>
      </c>
      <c r="C94" s="10">
        <f t="shared" ca="1" si="4"/>
        <v>0</v>
      </c>
      <c r="D94" s="11">
        <v>9</v>
      </c>
      <c r="E94" s="22">
        <f ca="1">OFFSET(E$66,F94,2*26,1,1)</f>
        <v>0</v>
      </c>
      <c r="F94" s="23">
        <v>4</v>
      </c>
      <c r="G94" s="22">
        <f ca="1">OFFSET(G$66,H94,2*26,1,1)</f>
        <v>0</v>
      </c>
      <c r="H94" s="23">
        <v>4</v>
      </c>
      <c r="I94" s="22">
        <f ca="1">OFFSET(I$66,J94,2*26,1,1)</f>
        <v>0</v>
      </c>
      <c r="J94" s="23">
        <v>4</v>
      </c>
    </row>
    <row r="95" spans="1:10" x14ac:dyDescent="0.25">
      <c r="A95" s="22">
        <f ca="1">OFFSET(A$66,B95,2*26,1,1)</f>
        <v>0</v>
      </c>
      <c r="B95" s="23">
        <v>5</v>
      </c>
      <c r="C95" s="10">
        <f t="shared" ca="1" si="4"/>
        <v>0</v>
      </c>
      <c r="D95" s="11">
        <v>10</v>
      </c>
      <c r="E95" s="22">
        <f ca="1">OFFSET(E$66,F95,2*26,1,1)</f>
        <v>0</v>
      </c>
      <c r="F95" s="23">
        <v>5</v>
      </c>
      <c r="G95" s="22">
        <f ca="1">OFFSET(G$66,H95,2*26,1,1)</f>
        <v>0</v>
      </c>
      <c r="H95" s="23">
        <v>5</v>
      </c>
      <c r="I95" s="22">
        <f ca="1">OFFSET(I$66,J95,2*26,1,1)</f>
        <v>0</v>
      </c>
      <c r="J95" s="23">
        <v>5</v>
      </c>
    </row>
    <row r="96" spans="1:10" x14ac:dyDescent="0.25">
      <c r="A96" s="22">
        <f ca="1">OFFSET(A$66,B96,3*26,1,1)</f>
        <v>0</v>
      </c>
      <c r="B96" s="23">
        <v>1</v>
      </c>
      <c r="C96" s="10">
        <f ca="1">OFFSET(C$66,D96,2*26,1,1)</f>
        <v>0</v>
      </c>
      <c r="D96" s="11">
        <v>1</v>
      </c>
      <c r="E96" s="22">
        <f ca="1">OFFSET(E$66,F96,3*26,1,1)</f>
        <v>0</v>
      </c>
      <c r="F96" s="23">
        <v>1</v>
      </c>
      <c r="G96" s="22">
        <f ca="1">OFFSET(G$66,H96,3*26,1,1)</f>
        <v>0</v>
      </c>
      <c r="H96" s="23">
        <v>1</v>
      </c>
      <c r="I96" s="22">
        <f ca="1">OFFSET(I$66,J96,3*26,1,1)</f>
        <v>0</v>
      </c>
      <c r="J96" s="23">
        <v>1</v>
      </c>
    </row>
    <row r="97" spans="1:10" x14ac:dyDescent="0.25">
      <c r="A97" s="22">
        <f ca="1">OFFSET(A$66,B97,3*26,1,1)</f>
        <v>0</v>
      </c>
      <c r="B97" s="23">
        <v>2</v>
      </c>
      <c r="C97" s="10">
        <f t="shared" ref="C97:C105" ca="1" si="5">OFFSET(C$66,D97,2*26,1,1)</f>
        <v>0</v>
      </c>
      <c r="D97" s="11">
        <v>2</v>
      </c>
      <c r="E97" s="22">
        <f ca="1">OFFSET(E$66,F97,3*26,1,1)</f>
        <v>0</v>
      </c>
      <c r="F97" s="23">
        <v>2</v>
      </c>
      <c r="G97" s="22">
        <f ca="1">OFFSET(G$66,H97,3*26,1,1)</f>
        <v>0</v>
      </c>
      <c r="H97" s="23">
        <v>2</v>
      </c>
      <c r="I97" s="22">
        <f ca="1">OFFSET(I$66,J97,3*26,1,1)</f>
        <v>0</v>
      </c>
      <c r="J97" s="23">
        <v>2</v>
      </c>
    </row>
    <row r="98" spans="1:10" x14ac:dyDescent="0.25">
      <c r="A98" s="22">
        <f ca="1">OFFSET(A$66,B98,3*26,1,1)</f>
        <v>0</v>
      </c>
      <c r="B98" s="23">
        <v>3</v>
      </c>
      <c r="C98" s="10">
        <f t="shared" ca="1" si="5"/>
        <v>0</v>
      </c>
      <c r="D98" s="11">
        <v>3</v>
      </c>
      <c r="E98" s="22">
        <f ca="1">OFFSET(E$66,F98,3*26,1,1)</f>
        <v>0</v>
      </c>
      <c r="F98" s="23">
        <v>3</v>
      </c>
      <c r="G98" s="22">
        <f ca="1">OFFSET(G$66,H98,3*26,1,1)</f>
        <v>0</v>
      </c>
      <c r="H98" s="23">
        <v>3</v>
      </c>
      <c r="I98" s="22">
        <f ca="1">OFFSET(I$66,J98,3*26,1,1)</f>
        <v>0</v>
      </c>
      <c r="J98" s="23">
        <v>3</v>
      </c>
    </row>
    <row r="99" spans="1:10" x14ac:dyDescent="0.25">
      <c r="A99" s="22">
        <f ca="1">OFFSET(A$66,B99,3*26,1,1)</f>
        <v>0</v>
      </c>
      <c r="B99" s="23">
        <v>4</v>
      </c>
      <c r="C99" s="10">
        <f t="shared" ca="1" si="5"/>
        <v>0</v>
      </c>
      <c r="D99" s="11">
        <v>4</v>
      </c>
      <c r="E99" s="22">
        <f ca="1">OFFSET(E$66,F99,3*26,1,1)</f>
        <v>0</v>
      </c>
      <c r="F99" s="23">
        <v>4</v>
      </c>
      <c r="G99" s="22">
        <f ca="1">OFFSET(G$66,H99,3*26,1,1)</f>
        <v>0</v>
      </c>
      <c r="H99" s="23">
        <v>4</v>
      </c>
      <c r="I99" s="22">
        <f ca="1">OFFSET(I$66,J99,3*26,1,1)</f>
        <v>0</v>
      </c>
      <c r="J99" s="23">
        <v>4</v>
      </c>
    </row>
    <row r="100" spans="1:10" x14ac:dyDescent="0.25">
      <c r="A100" s="24">
        <f ca="1">OFFSET(A$66,B100,3*26,1,1)</f>
        <v>0</v>
      </c>
      <c r="B100" s="25">
        <v>5</v>
      </c>
      <c r="C100" s="10">
        <f t="shared" ca="1" si="5"/>
        <v>0</v>
      </c>
      <c r="D100" s="11">
        <v>5</v>
      </c>
      <c r="E100" s="24">
        <f ca="1">OFFSET(E$66,F100,3*26,1,1)</f>
        <v>0</v>
      </c>
      <c r="F100" s="25">
        <v>5</v>
      </c>
      <c r="G100" s="24">
        <f ca="1">OFFSET(G$66,H100,3*26,1,1)</f>
        <v>0</v>
      </c>
      <c r="H100" s="25">
        <v>5</v>
      </c>
      <c r="I100" s="24">
        <f ca="1">OFFSET(I$66,J100,3*26,1,1)</f>
        <v>0</v>
      </c>
      <c r="J100" s="25">
        <v>5</v>
      </c>
    </row>
    <row r="101" spans="1:10" x14ac:dyDescent="0.25">
      <c r="A101" s="357" t="s">
        <v>583</v>
      </c>
      <c r="B101" s="358" t="str">
        <f ca="1">N_Auszahlung_13</f>
        <v>Dezember</v>
      </c>
      <c r="C101" s="10">
        <f t="shared" ca="1" si="5"/>
        <v>0</v>
      </c>
      <c r="D101" s="11">
        <v>6</v>
      </c>
      <c r="E101" s="4" t="s">
        <v>863</v>
      </c>
      <c r="F101" s="6" t="str">
        <f ca="1">'  B  '!C52</f>
        <v>Stunden pro Woche</v>
      </c>
      <c r="G101" s="4" t="s">
        <v>963</v>
      </c>
      <c r="H101" s="125" t="str">
        <f>'  B  '!C112</f>
        <v/>
      </c>
    </row>
    <row r="102" spans="1:10" x14ac:dyDescent="0.25">
      <c r="A102" s="359" t="s">
        <v>584</v>
      </c>
      <c r="B102" s="356">
        <f ca="1">IF(ISERROR(VLOOKUP(B101,A86:B100,2,0)),0,VLOOKUP(B101,A86:B100,2,0))</f>
        <v>1</v>
      </c>
      <c r="C102" s="10">
        <f t="shared" ca="1" si="5"/>
        <v>0</v>
      </c>
      <c r="D102" s="11">
        <v>7</v>
      </c>
      <c r="E102" s="12" t="s">
        <v>864</v>
      </c>
      <c r="F102" s="13">
        <f ca="1">IF(ISERROR(VLOOKUP(F101,E86:F100,2,0)),0,VLOOKUP(F101,E86:F100,2,0))</f>
        <v>1</v>
      </c>
      <c r="G102" s="12" t="s">
        <v>864</v>
      </c>
      <c r="H102" s="13">
        <f ca="1">IF(ISERROR(VLOOKUP(H101,G86:H100,2,0)),0,VLOOKUP(H101,G86:H100,2,0))</f>
        <v>0</v>
      </c>
    </row>
    <row r="103" spans="1:10" x14ac:dyDescent="0.25">
      <c r="C103" s="10">
        <f t="shared" ca="1" si="5"/>
        <v>0</v>
      </c>
      <c r="D103" s="11">
        <v>8</v>
      </c>
    </row>
    <row r="104" spans="1:10" x14ac:dyDescent="0.25">
      <c r="C104" s="10">
        <f t="shared" ca="1" si="5"/>
        <v>0</v>
      </c>
      <c r="D104" s="11">
        <v>9</v>
      </c>
    </row>
    <row r="105" spans="1:10" x14ac:dyDescent="0.25">
      <c r="C105" s="10">
        <f t="shared" ca="1" si="5"/>
        <v>0</v>
      </c>
      <c r="D105" s="11">
        <v>10</v>
      </c>
    </row>
    <row r="106" spans="1:10" x14ac:dyDescent="0.25">
      <c r="C106" s="10">
        <f ca="1">OFFSET(C$66,D106,3*26,1,1)</f>
        <v>0</v>
      </c>
      <c r="D106" s="11">
        <v>1</v>
      </c>
    </row>
    <row r="107" spans="1:10" x14ac:dyDescent="0.25">
      <c r="C107" s="10">
        <f t="shared" ref="C107:C115" ca="1" si="6">OFFSET(C$66,D107,3*26,1,1)</f>
        <v>0</v>
      </c>
      <c r="D107" s="11">
        <v>2</v>
      </c>
    </row>
    <row r="108" spans="1:10" x14ac:dyDescent="0.25">
      <c r="C108" s="10">
        <f t="shared" ca="1" si="6"/>
        <v>0</v>
      </c>
      <c r="D108" s="11">
        <v>3</v>
      </c>
    </row>
    <row r="109" spans="1:10" x14ac:dyDescent="0.25">
      <c r="C109" s="10">
        <f t="shared" ca="1" si="6"/>
        <v>0</v>
      </c>
      <c r="D109" s="11">
        <v>4</v>
      </c>
    </row>
    <row r="110" spans="1:10" x14ac:dyDescent="0.25">
      <c r="C110" s="10">
        <f t="shared" ca="1" si="6"/>
        <v>0</v>
      </c>
      <c r="D110" s="11">
        <v>5</v>
      </c>
    </row>
    <row r="111" spans="1:10" x14ac:dyDescent="0.25">
      <c r="C111" s="10">
        <f t="shared" ca="1" si="6"/>
        <v>0</v>
      </c>
      <c r="D111" s="11">
        <v>6</v>
      </c>
    </row>
    <row r="112" spans="1:10" x14ac:dyDescent="0.25">
      <c r="C112" s="10">
        <f t="shared" ca="1" si="6"/>
        <v>0</v>
      </c>
      <c r="D112" s="11">
        <v>7</v>
      </c>
    </row>
    <row r="113" spans="1:64" x14ac:dyDescent="0.25">
      <c r="C113" s="10">
        <f t="shared" ca="1" si="6"/>
        <v>0</v>
      </c>
      <c r="D113" s="11">
        <v>8</v>
      </c>
    </row>
    <row r="114" spans="1:64" x14ac:dyDescent="0.25">
      <c r="C114" s="10">
        <f t="shared" ca="1" si="6"/>
        <v>0</v>
      </c>
      <c r="D114" s="11">
        <v>9</v>
      </c>
    </row>
    <row r="115" spans="1:64" x14ac:dyDescent="0.25">
      <c r="C115" s="12">
        <f t="shared" ca="1" si="6"/>
        <v>0</v>
      </c>
      <c r="D115" s="13">
        <v>10</v>
      </c>
    </row>
    <row r="116" spans="1:64" x14ac:dyDescent="0.25">
      <c r="C116" s="4"/>
      <c r="D116" s="6"/>
    </row>
    <row r="117" spans="1:64" x14ac:dyDescent="0.25">
      <c r="C117" s="12"/>
      <c r="D117" s="13"/>
    </row>
    <row r="118" spans="1:64" x14ac:dyDescent="0.25">
      <c r="F118" s="96"/>
    </row>
    <row r="120" spans="1:64" x14ac:dyDescent="0.25">
      <c r="A120" s="1" t="s">
        <v>1033</v>
      </c>
    </row>
    <row r="122" spans="1:64" ht="13.8" thickBot="1" x14ac:dyDescent="0.3">
      <c r="A122" s="1" t="s">
        <v>819</v>
      </c>
      <c r="B122" s="1" t="s">
        <v>99</v>
      </c>
      <c r="C122" s="1" t="s">
        <v>835</v>
      </c>
      <c r="D122" s="1" t="s">
        <v>836</v>
      </c>
      <c r="E122" s="1" t="s">
        <v>837</v>
      </c>
      <c r="F122" s="1" t="s">
        <v>839</v>
      </c>
      <c r="G122" s="1" t="s">
        <v>840</v>
      </c>
      <c r="H122" s="1" t="s">
        <v>841</v>
      </c>
      <c r="I122" s="1" t="s">
        <v>741</v>
      </c>
      <c r="J122" s="1" t="s">
        <v>1034</v>
      </c>
      <c r="K122" s="1" t="s">
        <v>481</v>
      </c>
      <c r="L122" s="1" t="s">
        <v>312</v>
      </c>
    </row>
    <row r="123" spans="1:64" ht="13.8" thickBot="1" x14ac:dyDescent="0.3">
      <c r="A123" s="80" t="str">
        <f t="shared" ref="A123:L123" ca="1" si="7">OFFSET(A123,0,N_Sprache*26,1)</f>
        <v>(Auswahl in Spalte C)</v>
      </c>
      <c r="B123" s="80" t="str">
        <f t="shared" ca="1" si="7"/>
        <v xml:space="preserve">weiter in Zeile </v>
      </c>
      <c r="C123" s="80" t="str">
        <f t="shared" ca="1" si="7"/>
        <v>Daten KTG in Blatt B noch unvollständig</v>
      </c>
      <c r="D123" s="80" t="str">
        <f t="shared" ca="1" si="7"/>
        <v>übernommen aus Zeile</v>
      </c>
      <c r="E123" s="80" t="str">
        <f t="shared" ca="1" si="7"/>
        <v>gemäss Tarif errechnet aus Zeile</v>
      </c>
      <c r="F123" s="80" t="str">
        <f t="shared" ca="1" si="7"/>
        <v>Anzahl</v>
      </c>
      <c r="G123" s="80" t="str">
        <f t="shared" ca="1" si="7"/>
        <v>Stunden</v>
      </c>
      <c r="H123" s="80" t="str">
        <f t="shared" ca="1" si="7"/>
        <v>Tage</v>
      </c>
      <c r="I123" s="80" t="str">
        <f t="shared" ca="1" si="7"/>
        <v>Zeile</v>
      </c>
      <c r="J123" s="80" t="str">
        <f t="shared" ca="1" si="7"/>
        <v>Warnung: Prämie für Nichtbetriebs-Unfallversicherung in Blatt B noch nicht ausgefüllt</v>
      </c>
      <c r="K123" s="80" t="str">
        <f t="shared" ca="1" si="7"/>
        <v>ACHTUNG: Ansatz ungültig für Verfügung aus</v>
      </c>
      <c r="L123" s="80" t="str">
        <f t="shared" ca="1" si="7"/>
        <v>Stunden pro Nacht</v>
      </c>
      <c r="AA123" s="1" t="s">
        <v>820</v>
      </c>
      <c r="AB123" s="1" t="s">
        <v>98</v>
      </c>
      <c r="AC123" s="1" t="s">
        <v>902</v>
      </c>
      <c r="AD123" s="1" t="s">
        <v>363</v>
      </c>
      <c r="AE123" s="1" t="s">
        <v>367</v>
      </c>
      <c r="AF123" s="1" t="s">
        <v>24</v>
      </c>
      <c r="AG123" s="1" t="s">
        <v>605</v>
      </c>
      <c r="AH123" s="1" t="s">
        <v>882</v>
      </c>
      <c r="AI123" s="1" t="s">
        <v>740</v>
      </c>
      <c r="AJ123" s="55" t="s">
        <v>901</v>
      </c>
      <c r="AK123" s="1" t="s">
        <v>482</v>
      </c>
      <c r="AL123" s="1" t="s">
        <v>302</v>
      </c>
      <c r="BA123" s="96" t="s">
        <v>728</v>
      </c>
      <c r="BB123" s="96" t="s">
        <v>1178</v>
      </c>
      <c r="BC123" s="96" t="s">
        <v>643</v>
      </c>
      <c r="BD123" s="96" t="s">
        <v>364</v>
      </c>
      <c r="BE123" s="96" t="s">
        <v>368</v>
      </c>
      <c r="BF123" s="96" t="s">
        <v>1109</v>
      </c>
      <c r="BG123" s="96" t="s">
        <v>1110</v>
      </c>
      <c r="BH123" s="96" t="s">
        <v>1111</v>
      </c>
      <c r="BI123" s="96" t="s">
        <v>727</v>
      </c>
      <c r="BJ123" s="96" t="s">
        <v>1193</v>
      </c>
      <c r="BK123" s="96" t="s">
        <v>1194</v>
      </c>
      <c r="BL123" s="1" t="s">
        <v>303</v>
      </c>
    </row>
    <row r="195" spans="27:54" x14ac:dyDescent="0.25">
      <c r="AA195" s="415" t="s">
        <v>1056</v>
      </c>
      <c r="AB195" s="415">
        <f>ROW()</f>
        <v>195</v>
      </c>
      <c r="AC195" s="414"/>
    </row>
    <row r="196" spans="27:54" x14ac:dyDescent="0.25">
      <c r="AA196" s="409" t="s">
        <v>954</v>
      </c>
      <c r="AB196" s="413"/>
      <c r="AC196" s="414"/>
      <c r="BA196" s="445" t="s">
        <v>334</v>
      </c>
    </row>
    <row r="197" spans="27:54" x14ac:dyDescent="0.25">
      <c r="AA197" s="63" t="s">
        <v>687</v>
      </c>
      <c r="AB197" s="63"/>
      <c r="AC197" s="63"/>
      <c r="BA197" s="1" t="s">
        <v>1112</v>
      </c>
    </row>
    <row r="198" spans="27:54" x14ac:dyDescent="0.25">
      <c r="AA198" s="311" t="s">
        <v>1151</v>
      </c>
      <c r="AB198" s="311"/>
      <c r="AC198" s="311"/>
      <c r="BA198" s="1" t="s">
        <v>1113</v>
      </c>
    </row>
    <row r="199" spans="27:54" x14ac:dyDescent="0.25">
      <c r="AA199" s="486" t="s">
        <v>1450</v>
      </c>
      <c r="AB199" s="311"/>
      <c r="AC199" s="311"/>
      <c r="BA199" s="96" t="s">
        <v>1451</v>
      </c>
    </row>
    <row r="200" spans="27:54" x14ac:dyDescent="0.25">
      <c r="AA200" s="63"/>
      <c r="AB200" s="63"/>
      <c r="AC200" s="63"/>
    </row>
    <row r="201" spans="27:54" x14ac:dyDescent="0.25">
      <c r="AA201" s="96" t="s">
        <v>1368</v>
      </c>
      <c r="AB201" s="311"/>
      <c r="AC201" s="311"/>
      <c r="BA201" s="784" t="s">
        <v>1369</v>
      </c>
    </row>
    <row r="202" spans="27:54" x14ac:dyDescent="0.25">
      <c r="AA202" s="486"/>
      <c r="AB202" s="486" t="s">
        <v>1370</v>
      </c>
      <c r="BB202" s="96" t="s">
        <v>1371</v>
      </c>
    </row>
    <row r="203" spans="27:54" x14ac:dyDescent="0.25">
      <c r="AA203" s="63"/>
      <c r="AB203" s="63"/>
      <c r="AC203" s="63"/>
    </row>
    <row r="204" spans="27:54" x14ac:dyDescent="0.25">
      <c r="AA204" s="311" t="s">
        <v>674</v>
      </c>
      <c r="AB204" s="311"/>
      <c r="AC204" s="311"/>
      <c r="BA204" s="1" t="s">
        <v>1114</v>
      </c>
    </row>
    <row r="205" spans="27:54" x14ac:dyDescent="0.25">
      <c r="AA205" s="311" t="s">
        <v>935</v>
      </c>
      <c r="AB205" s="311"/>
      <c r="AC205" s="311"/>
      <c r="BA205" s="1" t="s">
        <v>112</v>
      </c>
    </row>
    <row r="206" spans="27:54" x14ac:dyDescent="0.25">
      <c r="AA206" s="311" t="s">
        <v>905</v>
      </c>
      <c r="AB206" s="311"/>
      <c r="AC206" s="311"/>
      <c r="BA206" s="96" t="s">
        <v>689</v>
      </c>
    </row>
    <row r="207" spans="27:54" x14ac:dyDescent="0.25">
      <c r="AA207" s="63"/>
      <c r="AB207" s="63"/>
      <c r="AC207" s="63"/>
    </row>
    <row r="208" spans="27:54" x14ac:dyDescent="0.25">
      <c r="AA208" s="395" t="s">
        <v>1043</v>
      </c>
      <c r="AB208" s="63"/>
      <c r="AC208" s="63"/>
      <c r="BA208" s="1" t="s">
        <v>335</v>
      </c>
    </row>
    <row r="209" spans="27:55" x14ac:dyDescent="0.25">
      <c r="AA209" s="8" t="s">
        <v>1047</v>
      </c>
      <c r="AB209" s="8" t="s">
        <v>1046</v>
      </c>
      <c r="AC209" s="8" t="s">
        <v>20</v>
      </c>
      <c r="BA209" s="1" t="s">
        <v>113</v>
      </c>
      <c r="BB209" s="1" t="s">
        <v>114</v>
      </c>
      <c r="BC209" s="1" t="s">
        <v>115</v>
      </c>
    </row>
    <row r="210" spans="27:55" x14ac:dyDescent="0.25">
      <c r="AA210" s="395" t="s">
        <v>678</v>
      </c>
      <c r="AB210" s="408" t="s">
        <v>679</v>
      </c>
      <c r="AC210" s="395" t="s">
        <v>955</v>
      </c>
      <c r="BA210" s="1" t="s">
        <v>116</v>
      </c>
      <c r="BB210" s="1" t="s">
        <v>679</v>
      </c>
      <c r="BC210" s="1" t="s">
        <v>117</v>
      </c>
    </row>
    <row r="211" spans="27:55" x14ac:dyDescent="0.25">
      <c r="AA211" s="395" t="s">
        <v>1044</v>
      </c>
      <c r="AB211" s="408" t="s">
        <v>36</v>
      </c>
      <c r="AC211" s="395" t="s">
        <v>1045</v>
      </c>
      <c r="BA211" s="1" t="s">
        <v>118</v>
      </c>
      <c r="BB211" s="1" t="s">
        <v>36</v>
      </c>
      <c r="BC211" s="1" t="s">
        <v>119</v>
      </c>
    </row>
    <row r="212" spans="27:55" x14ac:dyDescent="0.25">
      <c r="AA212" s="395" t="s">
        <v>927</v>
      </c>
      <c r="AB212" s="408" t="s">
        <v>778</v>
      </c>
      <c r="AC212" s="395" t="s">
        <v>456</v>
      </c>
      <c r="BA212" s="1" t="s">
        <v>120</v>
      </c>
      <c r="BB212" s="1" t="s">
        <v>455</v>
      </c>
      <c r="BC212" s="1" t="s">
        <v>1146</v>
      </c>
    </row>
    <row r="213" spans="27:55" x14ac:dyDescent="0.25">
      <c r="AA213" s="395" t="s">
        <v>1048</v>
      </c>
      <c r="AB213" s="408" t="s">
        <v>1049</v>
      </c>
      <c r="AC213" s="395" t="s">
        <v>1050</v>
      </c>
      <c r="BA213" s="1" t="s">
        <v>1116</v>
      </c>
      <c r="BB213" s="1" t="s">
        <v>1049</v>
      </c>
      <c r="BC213" s="1" t="s">
        <v>1117</v>
      </c>
    </row>
    <row r="214" spans="27:55" x14ac:dyDescent="0.25">
      <c r="AA214" s="395" t="s">
        <v>676</v>
      </c>
      <c r="AB214" s="408" t="s">
        <v>677</v>
      </c>
      <c r="AC214" s="395" t="s">
        <v>492</v>
      </c>
      <c r="BA214" s="1" t="s">
        <v>676</v>
      </c>
      <c r="BB214" s="1" t="s">
        <v>677</v>
      </c>
      <c r="BC214" s="1" t="s">
        <v>1118</v>
      </c>
    </row>
    <row r="215" spans="27:55" x14ac:dyDescent="0.25">
      <c r="AA215" s="395" t="s">
        <v>680</v>
      </c>
      <c r="AB215" s="408" t="s">
        <v>681</v>
      </c>
      <c r="AC215" s="395" t="s">
        <v>493</v>
      </c>
      <c r="BA215" s="1" t="s">
        <v>680</v>
      </c>
      <c r="BB215" s="1" t="s">
        <v>681</v>
      </c>
      <c r="BC215" s="1" t="s">
        <v>489</v>
      </c>
    </row>
    <row r="216" spans="27:55" x14ac:dyDescent="0.25">
      <c r="AA216" s="63"/>
      <c r="AB216" s="63"/>
      <c r="AC216" s="63"/>
    </row>
    <row r="217" spans="27:55" x14ac:dyDescent="0.25">
      <c r="AA217" s="395" t="s">
        <v>1051</v>
      </c>
      <c r="AB217" s="63"/>
      <c r="AC217" s="63"/>
      <c r="BA217" s="1" t="s">
        <v>1119</v>
      </c>
    </row>
    <row r="218" spans="27:55" x14ac:dyDescent="0.25">
      <c r="AA218" s="395" t="s">
        <v>682</v>
      </c>
      <c r="AB218" s="411" t="s">
        <v>816</v>
      </c>
      <c r="AC218" s="395" t="s">
        <v>965</v>
      </c>
      <c r="BA218" s="1" t="s">
        <v>1120</v>
      </c>
      <c r="BB218" s="1" t="s">
        <v>134</v>
      </c>
      <c r="BC218" s="96" t="s">
        <v>1179</v>
      </c>
    </row>
    <row r="219" spans="27:55" x14ac:dyDescent="0.25">
      <c r="AA219" s="395" t="s">
        <v>683</v>
      </c>
      <c r="AB219" s="412" t="s">
        <v>1052</v>
      </c>
      <c r="AC219" s="395" t="s">
        <v>1115</v>
      </c>
      <c r="BA219" s="1" t="s">
        <v>135</v>
      </c>
      <c r="BB219" s="1" t="s">
        <v>136</v>
      </c>
      <c r="BC219" s="96" t="s">
        <v>458</v>
      </c>
    </row>
    <row r="220" spans="27:55" x14ac:dyDescent="0.25">
      <c r="AA220" s="395" t="s">
        <v>684</v>
      </c>
      <c r="AB220" s="411" t="s">
        <v>817</v>
      </c>
      <c r="AC220" s="395" t="s">
        <v>956</v>
      </c>
      <c r="BA220" s="1" t="s">
        <v>137</v>
      </c>
      <c r="BB220" s="1" t="s">
        <v>138</v>
      </c>
      <c r="BC220" s="96" t="s">
        <v>457</v>
      </c>
    </row>
    <row r="221" spans="27:55" x14ac:dyDescent="0.25">
      <c r="AA221" s="395" t="s">
        <v>685</v>
      </c>
      <c r="AB221" s="412" t="s">
        <v>1053</v>
      </c>
      <c r="AC221" s="395" t="s">
        <v>686</v>
      </c>
      <c r="BA221" s="1" t="s">
        <v>139</v>
      </c>
      <c r="BB221" s="1" t="s">
        <v>140</v>
      </c>
      <c r="BC221" s="1" t="s">
        <v>141</v>
      </c>
    </row>
    <row r="222" spans="27:55" x14ac:dyDescent="0.25">
      <c r="AA222" s="63"/>
      <c r="AB222" s="63"/>
      <c r="AC222" s="63"/>
    </row>
    <row r="223" spans="27:55" x14ac:dyDescent="0.25">
      <c r="AA223" s="395" t="s">
        <v>672</v>
      </c>
      <c r="AB223" s="395" t="s">
        <v>673</v>
      </c>
      <c r="AC223" s="63"/>
      <c r="BA223" s="1" t="s">
        <v>142</v>
      </c>
      <c r="BB223" s="1" t="s">
        <v>143</v>
      </c>
    </row>
    <row r="224" spans="27:55" x14ac:dyDescent="0.25">
      <c r="AA224" s="395" t="s">
        <v>403</v>
      </c>
      <c r="AB224" s="395" t="s">
        <v>404</v>
      </c>
      <c r="AC224" s="63"/>
      <c r="BA224" s="1" t="s">
        <v>144</v>
      </c>
      <c r="BB224" s="1" t="s">
        <v>145</v>
      </c>
    </row>
    <row r="225" spans="27:55" x14ac:dyDescent="0.25">
      <c r="AA225" s="395" t="s">
        <v>930</v>
      </c>
      <c r="AB225" s="395" t="s">
        <v>405</v>
      </c>
      <c r="AC225" s="63"/>
      <c r="BA225" s="1" t="s">
        <v>146</v>
      </c>
      <c r="BB225" s="1" t="s">
        <v>147</v>
      </c>
    </row>
    <row r="226" spans="27:55" x14ac:dyDescent="0.25">
      <c r="AA226" s="395" t="s">
        <v>1054</v>
      </c>
      <c r="AB226" s="395" t="s">
        <v>1055</v>
      </c>
      <c r="AC226" s="63"/>
      <c r="BA226" s="1" t="s">
        <v>148</v>
      </c>
      <c r="BB226" s="96" t="s">
        <v>1180</v>
      </c>
    </row>
    <row r="227" spans="27:55" x14ac:dyDescent="0.25">
      <c r="AA227" s="395" t="s">
        <v>936</v>
      </c>
      <c r="AB227" s="395" t="s">
        <v>937</v>
      </c>
      <c r="AC227" s="63"/>
      <c r="BA227" s="1" t="s">
        <v>149</v>
      </c>
      <c r="BB227" s="1" t="s">
        <v>150</v>
      </c>
    </row>
    <row r="228" spans="27:55" x14ac:dyDescent="0.25">
      <c r="AA228" s="63"/>
      <c r="AB228" s="63"/>
      <c r="AC228" s="63"/>
    </row>
    <row r="229" spans="27:55" x14ac:dyDescent="0.25">
      <c r="AA229" s="63" t="s">
        <v>931</v>
      </c>
      <c r="AB229" s="63"/>
      <c r="AC229" s="63" t="s">
        <v>585</v>
      </c>
      <c r="BA229" s="1" t="s">
        <v>151</v>
      </c>
      <c r="BC229" s="1" t="s">
        <v>585</v>
      </c>
    </row>
    <row r="245" spans="27:61" x14ac:dyDescent="0.25">
      <c r="AA245" s="415" t="s">
        <v>1056</v>
      </c>
      <c r="AB245" s="415">
        <f>ROW()</f>
        <v>245</v>
      </c>
      <c r="AC245" s="415"/>
      <c r="AD245" s="415"/>
      <c r="AE245" s="415"/>
      <c r="AF245" s="415"/>
      <c r="AG245" s="415"/>
      <c r="AH245" s="415"/>
    </row>
    <row r="246" spans="27:61" x14ac:dyDescent="0.25">
      <c r="AA246" s="424" t="s">
        <v>754</v>
      </c>
      <c r="AB246" s="422"/>
      <c r="AC246" s="58"/>
      <c r="AD246" s="423" t="s">
        <v>1057</v>
      </c>
      <c r="AE246" s="58"/>
      <c r="AF246" s="58"/>
      <c r="AG246" s="58"/>
      <c r="AH246" s="58"/>
      <c r="AI246" s="55"/>
      <c r="AJ246" s="55"/>
      <c r="AK246" s="55"/>
      <c r="BA246" s="445" t="s">
        <v>152</v>
      </c>
      <c r="BB246" s="445"/>
      <c r="BC246" s="445"/>
      <c r="BD246" s="567" t="s">
        <v>1181</v>
      </c>
      <c r="BE246" s="445"/>
      <c r="BF246" s="445"/>
      <c r="BG246" s="445"/>
      <c r="BH246" s="445"/>
      <c r="BI246" s="445"/>
    </row>
    <row r="247" spans="27:61" x14ac:dyDescent="0.25">
      <c r="AA247" s="55"/>
      <c r="AB247" s="62"/>
      <c r="AC247" s="55"/>
      <c r="AD247" s="94"/>
      <c r="AE247" s="55"/>
      <c r="AF247" s="55"/>
      <c r="AG247" s="55"/>
      <c r="AH247" s="55"/>
      <c r="AI247" s="55"/>
      <c r="AJ247" s="55"/>
      <c r="AK247" s="55"/>
    </row>
    <row r="248" spans="27:61" x14ac:dyDescent="0.25">
      <c r="AA248" s="55"/>
      <c r="AB248" s="62"/>
      <c r="AC248" s="55"/>
      <c r="AD248" s="62"/>
      <c r="AE248" s="55"/>
      <c r="AF248" s="55"/>
      <c r="AG248" s="55"/>
      <c r="AH248" s="55"/>
      <c r="AI248" s="55"/>
      <c r="AJ248" s="55"/>
      <c r="AK248" s="55"/>
    </row>
    <row r="249" spans="27:61" x14ac:dyDescent="0.25">
      <c r="AA249" s="55"/>
      <c r="AB249" s="62"/>
      <c r="AC249" s="55"/>
      <c r="AD249" s="62"/>
      <c r="AE249" s="55"/>
      <c r="AF249" s="55"/>
      <c r="AG249" s="55"/>
      <c r="AH249" s="55"/>
      <c r="AI249" s="55"/>
      <c r="AJ249" s="55"/>
      <c r="AK249" s="55"/>
    </row>
    <row r="250" spans="27:61" x14ac:dyDescent="0.25">
      <c r="AA250" s="55"/>
      <c r="AB250" s="62"/>
      <c r="AC250" s="55"/>
      <c r="AD250" s="62"/>
      <c r="AE250" s="55"/>
      <c r="AF250" s="55"/>
      <c r="AG250" s="55"/>
      <c r="AH250" s="55"/>
      <c r="AI250" s="55"/>
      <c r="AJ250" s="55"/>
      <c r="AK250" s="55"/>
    </row>
    <row r="251" spans="27:61" x14ac:dyDescent="0.25">
      <c r="AA251" s="55"/>
      <c r="AB251" s="62"/>
      <c r="AC251" s="55"/>
      <c r="AD251" s="62"/>
      <c r="AE251" s="55"/>
      <c r="AF251" s="55"/>
      <c r="AG251" s="55"/>
      <c r="AH251" s="55"/>
      <c r="AI251" s="55"/>
      <c r="AJ251" s="55"/>
      <c r="AK251" s="55"/>
    </row>
    <row r="252" spans="27:61" x14ac:dyDescent="0.25">
      <c r="AA252" s="55"/>
      <c r="AB252" s="62"/>
      <c r="AC252" s="55"/>
      <c r="AD252" s="62"/>
      <c r="AE252" s="55"/>
      <c r="AF252" s="55"/>
      <c r="AG252" s="55"/>
      <c r="AH252" s="55"/>
      <c r="AI252" s="55"/>
      <c r="AJ252" s="55"/>
      <c r="AK252" s="55"/>
    </row>
    <row r="253" spans="27:61" x14ac:dyDescent="0.25">
      <c r="AA253" s="55"/>
      <c r="AB253" s="62"/>
      <c r="AC253" s="55"/>
      <c r="AD253" s="62"/>
      <c r="AE253" s="55"/>
      <c r="AF253" s="55"/>
      <c r="AG253" s="55"/>
      <c r="AH253" s="55"/>
      <c r="AI253" s="55"/>
      <c r="AJ253" s="55"/>
      <c r="AK253" s="55"/>
    </row>
    <row r="254" spans="27:61" x14ac:dyDescent="0.25">
      <c r="AA254" s="63"/>
      <c r="AB254" s="63"/>
      <c r="AC254" s="63"/>
      <c r="AD254" s="63"/>
      <c r="AE254" s="63"/>
      <c r="AF254" s="63"/>
      <c r="AG254" s="63"/>
      <c r="AH254" s="63"/>
      <c r="AI254" s="55"/>
      <c r="AJ254" s="55"/>
      <c r="AK254" s="55"/>
    </row>
    <row r="255" spans="27:61" x14ac:dyDescent="0.25">
      <c r="AA255" s="63"/>
      <c r="AB255" s="63"/>
      <c r="AC255" s="63"/>
      <c r="AD255" s="63"/>
      <c r="AE255" s="63"/>
      <c r="AF255" s="63"/>
      <c r="AG255" s="63"/>
      <c r="AH255" s="63"/>
      <c r="AI255" s="55"/>
      <c r="AJ255" s="55"/>
      <c r="AK255" s="55"/>
    </row>
    <row r="256" spans="27:61" x14ac:dyDescent="0.25">
      <c r="AA256" s="63" t="s">
        <v>1147</v>
      </c>
      <c r="AB256" s="89"/>
      <c r="AC256" s="89"/>
      <c r="AD256" s="89"/>
      <c r="AE256" s="89"/>
      <c r="AF256" s="89"/>
      <c r="AG256" s="89"/>
      <c r="AH256" s="89"/>
      <c r="AI256" s="86"/>
      <c r="AJ256" s="86"/>
      <c r="AK256" s="86"/>
      <c r="BA256" s="1" t="s">
        <v>153</v>
      </c>
    </row>
    <row r="257" spans="27:59" x14ac:dyDescent="0.25">
      <c r="AA257" s="63" t="s">
        <v>494</v>
      </c>
      <c r="AB257" s="89"/>
      <c r="AC257" s="89"/>
      <c r="AD257" s="89"/>
      <c r="AE257" s="89"/>
      <c r="AF257" s="89"/>
      <c r="AG257" s="89"/>
      <c r="AH257" s="89"/>
      <c r="AI257" s="86"/>
      <c r="AJ257" s="86"/>
      <c r="AK257" s="86"/>
      <c r="BA257" s="96" t="s">
        <v>1182</v>
      </c>
    </row>
    <row r="258" spans="27:59" ht="15" x14ac:dyDescent="0.25">
      <c r="AA258" s="311" t="s">
        <v>1058</v>
      </c>
      <c r="AB258" s="311"/>
      <c r="AC258" s="430"/>
      <c r="AD258" s="63"/>
      <c r="AE258" s="63"/>
      <c r="AF258" s="63"/>
      <c r="AG258" s="63"/>
      <c r="AH258" s="63"/>
      <c r="AI258" s="55"/>
      <c r="AJ258" s="55"/>
      <c r="AK258" s="55"/>
      <c r="BA258" s="1" t="s">
        <v>154</v>
      </c>
    </row>
    <row r="259" spans="27:59" x14ac:dyDescent="0.25">
      <c r="AA259" s="427"/>
      <c r="AB259" s="63"/>
      <c r="AC259" s="63"/>
      <c r="AD259" s="63"/>
      <c r="AE259" s="63"/>
      <c r="AF259" s="63"/>
      <c r="AG259" s="63" t="s">
        <v>750</v>
      </c>
      <c r="AH259" s="63"/>
      <c r="AI259" s="87"/>
      <c r="AJ259" s="87"/>
      <c r="AK259" s="87"/>
      <c r="BG259" s="1" t="s">
        <v>155</v>
      </c>
    </row>
    <row r="260" spans="27:59" x14ac:dyDescent="0.25">
      <c r="AA260" s="427"/>
      <c r="AB260" s="89"/>
      <c r="AC260" s="89"/>
      <c r="AD260" s="89"/>
      <c r="AE260" s="89"/>
      <c r="AF260" s="89"/>
      <c r="AG260" s="89"/>
      <c r="AH260" s="89"/>
      <c r="AI260" s="89"/>
      <c r="AJ260" s="89"/>
      <c r="AK260" s="89"/>
    </row>
    <row r="261" spans="27:59" x14ac:dyDescent="0.25">
      <c r="AA261" s="63" t="s">
        <v>764</v>
      </c>
      <c r="AB261" s="63" t="s">
        <v>923</v>
      </c>
      <c r="AC261" s="63" t="s">
        <v>924</v>
      </c>
      <c r="AD261" s="63" t="s">
        <v>925</v>
      </c>
      <c r="AE261" s="63"/>
      <c r="AF261" s="63"/>
      <c r="AG261" s="63"/>
      <c r="AH261" s="63"/>
      <c r="AI261" s="55"/>
      <c r="AJ261" s="55"/>
      <c r="AK261" s="55"/>
      <c r="BA261" s="1" t="s">
        <v>156</v>
      </c>
      <c r="BB261" s="1" t="s">
        <v>157</v>
      </c>
      <c r="BC261" s="1" t="s">
        <v>158</v>
      </c>
      <c r="BD261" s="1" t="s">
        <v>159</v>
      </c>
    </row>
    <row r="262" spans="27:59" x14ac:dyDescent="0.25">
      <c r="AA262" s="63"/>
      <c r="AB262" s="63"/>
      <c r="AC262" s="63"/>
      <c r="AD262" s="63"/>
      <c r="AE262" s="63"/>
      <c r="AF262" s="63"/>
      <c r="AG262" s="63"/>
      <c r="AH262" s="63"/>
      <c r="AI262" s="55"/>
      <c r="AJ262" s="55"/>
      <c r="AK262" s="55"/>
    </row>
    <row r="263" spans="27:59" ht="15.75" customHeight="1" x14ac:dyDescent="0.25">
      <c r="AA263" s="327" t="s">
        <v>406</v>
      </c>
      <c r="AB263" s="63"/>
      <c r="AC263" s="63"/>
      <c r="AD263" s="63"/>
      <c r="AE263" s="63"/>
      <c r="AF263" s="63"/>
      <c r="AG263" s="63"/>
      <c r="AH263" s="63"/>
      <c r="AI263" s="55"/>
      <c r="AJ263" s="55"/>
      <c r="AK263" s="55"/>
      <c r="BA263" s="1" t="s">
        <v>160</v>
      </c>
    </row>
    <row r="264" spans="27:59" x14ac:dyDescent="0.25">
      <c r="AA264" s="170" t="s">
        <v>866</v>
      </c>
      <c r="AB264" s="63"/>
      <c r="AC264" s="410"/>
      <c r="AD264" s="63"/>
      <c r="AE264" s="63"/>
      <c r="AF264" s="63"/>
      <c r="AG264" s="63"/>
      <c r="AH264" s="63"/>
      <c r="AI264" s="55"/>
      <c r="AJ264" s="55"/>
      <c r="AK264" s="55"/>
      <c r="BA264" s="1" t="s">
        <v>161</v>
      </c>
    </row>
    <row r="265" spans="27:59" x14ac:dyDescent="0.25">
      <c r="AA265" s="170" t="s">
        <v>867</v>
      </c>
      <c r="AB265" s="63"/>
      <c r="AC265" s="410"/>
      <c r="AD265" s="63"/>
      <c r="AE265" s="63"/>
      <c r="AF265" s="63"/>
      <c r="AG265" s="63"/>
      <c r="AH265" s="63"/>
      <c r="AI265" s="55"/>
      <c r="AJ265" s="55"/>
      <c r="AK265" s="55"/>
      <c r="BA265" s="1" t="s">
        <v>167</v>
      </c>
    </row>
    <row r="266" spans="27:59" x14ac:dyDescent="0.25">
      <c r="AA266" s="170" t="s">
        <v>868</v>
      </c>
      <c r="AB266" s="63"/>
      <c r="AC266" s="410"/>
      <c r="AD266" s="63"/>
      <c r="AE266" s="63"/>
      <c r="AF266" s="63"/>
      <c r="AG266" s="63"/>
      <c r="AH266" s="63"/>
      <c r="AI266" s="55"/>
      <c r="AJ266" s="55"/>
      <c r="AK266" s="55"/>
      <c r="BA266" s="1" t="s">
        <v>868</v>
      </c>
    </row>
    <row r="267" spans="27:59" x14ac:dyDescent="0.25">
      <c r="AA267" s="170" t="s">
        <v>869</v>
      </c>
      <c r="AB267" s="63"/>
      <c r="AC267" s="410"/>
      <c r="AD267" s="63"/>
      <c r="AE267" s="63"/>
      <c r="AF267" s="63"/>
      <c r="AG267" s="63"/>
      <c r="AH267" s="63"/>
      <c r="AI267" s="55"/>
      <c r="AJ267" s="55"/>
      <c r="AK267" s="55"/>
      <c r="BA267" s="1" t="s">
        <v>162</v>
      </c>
    </row>
    <row r="268" spans="27:59" x14ac:dyDescent="0.25">
      <c r="AA268" s="170" t="s">
        <v>870</v>
      </c>
      <c r="AB268" s="63"/>
      <c r="AC268" s="410"/>
      <c r="AD268" s="63"/>
      <c r="AE268" s="63"/>
      <c r="AF268" s="63"/>
      <c r="AG268" s="63"/>
      <c r="AH268" s="63"/>
      <c r="AI268" s="55"/>
      <c r="AJ268" s="55"/>
      <c r="AK268" s="55"/>
      <c r="BA268" s="1" t="s">
        <v>168</v>
      </c>
    </row>
    <row r="269" spans="27:59" x14ac:dyDescent="0.25">
      <c r="AA269" s="170" t="s">
        <v>871</v>
      </c>
      <c r="AB269" s="63"/>
      <c r="AC269" s="410"/>
      <c r="AD269" s="63"/>
      <c r="AE269" s="63"/>
      <c r="AF269" s="63"/>
      <c r="AG269" s="63"/>
      <c r="AH269" s="63"/>
      <c r="AI269" s="55"/>
      <c r="AJ269" s="55"/>
      <c r="AK269" s="55"/>
      <c r="BA269" s="1" t="s">
        <v>163</v>
      </c>
    </row>
    <row r="270" spans="27:59" x14ac:dyDescent="0.25">
      <c r="AA270" s="63"/>
      <c r="AB270" s="63"/>
      <c r="AC270" s="63"/>
      <c r="AD270" s="63"/>
      <c r="AE270" s="63"/>
      <c r="AF270" s="63"/>
      <c r="AG270" s="63"/>
      <c r="AH270" s="63"/>
      <c r="AI270" s="55"/>
      <c r="AJ270" s="55"/>
      <c r="AK270" s="55"/>
    </row>
    <row r="271" spans="27:59" x14ac:dyDescent="0.25">
      <c r="AA271" s="63" t="s">
        <v>477</v>
      </c>
      <c r="AB271" s="63"/>
      <c r="AC271" s="63"/>
      <c r="AD271" s="63"/>
      <c r="AE271" s="63"/>
      <c r="AF271" s="63"/>
      <c r="AG271" s="63"/>
      <c r="AH271" s="63"/>
      <c r="AI271" s="55"/>
      <c r="AJ271" s="55"/>
      <c r="AK271" s="55"/>
      <c r="BA271" s="63" t="s">
        <v>486</v>
      </c>
    </row>
    <row r="272" spans="27:59" x14ac:dyDescent="0.25">
      <c r="AA272" s="63" t="s">
        <v>478</v>
      </c>
      <c r="AB272" s="63"/>
      <c r="AC272" s="63"/>
      <c r="AD272" s="63"/>
      <c r="AE272" s="63"/>
      <c r="AF272" s="63"/>
      <c r="AG272" s="63"/>
      <c r="AH272" s="63"/>
      <c r="AI272" s="55"/>
      <c r="AJ272" s="55"/>
      <c r="AK272" s="55"/>
      <c r="BA272" s="63" t="s">
        <v>487</v>
      </c>
    </row>
    <row r="273" spans="27:56" x14ac:dyDescent="0.25">
      <c r="AA273" s="63" t="s">
        <v>972</v>
      </c>
      <c r="AB273" s="63" t="s">
        <v>1257</v>
      </c>
      <c r="AC273" s="428"/>
      <c r="AD273" s="63" t="s">
        <v>748</v>
      </c>
      <c r="AE273" s="63"/>
      <c r="AF273" s="63"/>
      <c r="AG273" s="63"/>
      <c r="AH273" s="63"/>
      <c r="AI273" s="55"/>
      <c r="AJ273" s="55"/>
      <c r="AK273" s="55"/>
      <c r="BA273" s="1" t="s">
        <v>164</v>
      </c>
      <c r="BB273" s="1" t="s">
        <v>1270</v>
      </c>
      <c r="BD273" s="1" t="s">
        <v>336</v>
      </c>
    </row>
    <row r="274" spans="27:56" x14ac:dyDescent="0.25">
      <c r="AA274" s="63" t="s">
        <v>908</v>
      </c>
      <c r="AB274" s="63"/>
      <c r="AC274" s="428"/>
      <c r="AD274" s="63"/>
      <c r="AE274" s="63"/>
      <c r="AF274" s="63"/>
      <c r="AG274" s="63"/>
      <c r="AH274" s="63"/>
      <c r="AI274" s="55"/>
      <c r="AJ274" s="55"/>
      <c r="AK274" s="55"/>
      <c r="BA274" s="96" t="s">
        <v>909</v>
      </c>
    </row>
    <row r="275" spans="27:56" x14ac:dyDescent="0.25">
      <c r="AA275" s="63"/>
      <c r="AB275" s="63"/>
      <c r="AC275" s="63"/>
      <c r="AD275" s="63"/>
      <c r="AE275" s="63"/>
      <c r="AF275" s="63"/>
      <c r="AG275" s="63"/>
      <c r="AH275" s="63"/>
      <c r="AI275" s="55"/>
      <c r="AJ275" s="55"/>
      <c r="AK275" s="55"/>
    </row>
    <row r="276" spans="27:56" ht="15" x14ac:dyDescent="0.25">
      <c r="AA276" s="327" t="s">
        <v>1152</v>
      </c>
      <c r="AB276" s="63"/>
      <c r="AC276" s="63"/>
      <c r="AD276" s="63"/>
      <c r="AE276" s="63"/>
      <c r="AF276" s="63"/>
      <c r="AG276" s="63"/>
      <c r="AH276" s="63"/>
      <c r="AI276" s="55"/>
      <c r="AJ276" s="55"/>
      <c r="AK276" s="55"/>
      <c r="BA276" s="1" t="s">
        <v>165</v>
      </c>
    </row>
    <row r="277" spans="27:56" x14ac:dyDescent="0.25">
      <c r="AA277" s="63" t="s">
        <v>1153</v>
      </c>
      <c r="AB277" s="63"/>
      <c r="AC277" s="63"/>
      <c r="AD277" s="63"/>
      <c r="AE277" s="63"/>
      <c r="AF277" s="63"/>
      <c r="AG277" s="63"/>
      <c r="AH277" s="63"/>
      <c r="AI277" s="55"/>
      <c r="AJ277" s="55"/>
      <c r="AK277" s="55"/>
      <c r="BA277" s="1" t="s">
        <v>166</v>
      </c>
    </row>
    <row r="278" spans="27:56" x14ac:dyDescent="0.25">
      <c r="AA278" s="170" t="s">
        <v>873</v>
      </c>
      <c r="AB278" s="63"/>
      <c r="AC278" s="410"/>
      <c r="AD278" s="63"/>
      <c r="AE278" s="63"/>
      <c r="AF278" s="63"/>
      <c r="AG278" s="63"/>
      <c r="AH278" s="63"/>
      <c r="AI278" s="55"/>
      <c r="AJ278" s="55"/>
      <c r="AK278" s="55"/>
      <c r="BA278" s="1" t="s">
        <v>1077</v>
      </c>
    </row>
    <row r="279" spans="27:56" x14ac:dyDescent="0.25">
      <c r="AA279" s="170" t="s">
        <v>866</v>
      </c>
      <c r="AB279" s="63"/>
      <c r="AC279" s="410"/>
      <c r="AD279" s="63"/>
      <c r="AE279" s="63"/>
      <c r="AF279" s="63"/>
      <c r="AG279" s="63"/>
      <c r="AH279" s="63"/>
      <c r="AI279" s="55"/>
      <c r="AJ279" s="55"/>
      <c r="AK279" s="55"/>
      <c r="BA279" s="1" t="s">
        <v>161</v>
      </c>
    </row>
    <row r="280" spans="27:56" x14ac:dyDescent="0.25">
      <c r="AA280" s="170" t="s">
        <v>867</v>
      </c>
      <c r="AB280" s="63"/>
      <c r="AC280" s="410"/>
      <c r="AD280" s="63"/>
      <c r="AE280" s="63"/>
      <c r="AF280" s="63"/>
      <c r="AG280" s="63"/>
      <c r="AH280" s="63"/>
      <c r="AI280" s="55"/>
      <c r="AJ280" s="55"/>
      <c r="AK280" s="55"/>
      <c r="BA280" s="1" t="s">
        <v>167</v>
      </c>
    </row>
    <row r="281" spans="27:56" x14ac:dyDescent="0.25">
      <c r="AA281" s="170" t="s">
        <v>868</v>
      </c>
      <c r="AB281" s="63"/>
      <c r="AC281" s="410"/>
      <c r="AD281" s="63"/>
      <c r="AE281" s="63"/>
      <c r="AF281" s="63"/>
      <c r="AG281" s="63"/>
      <c r="AH281" s="63"/>
      <c r="AI281" s="55"/>
      <c r="AJ281" s="55"/>
      <c r="AK281" s="55"/>
      <c r="BA281" s="1" t="s">
        <v>868</v>
      </c>
    </row>
    <row r="282" spans="27:56" x14ac:dyDescent="0.25">
      <c r="AA282" s="170" t="s">
        <v>869</v>
      </c>
      <c r="AB282" s="63"/>
      <c r="AC282" s="410"/>
      <c r="AD282" s="63"/>
      <c r="AE282" s="63"/>
      <c r="AF282" s="63"/>
      <c r="AG282" s="63"/>
      <c r="AH282" s="63"/>
      <c r="AI282" s="55"/>
      <c r="AJ282" s="55"/>
      <c r="AK282" s="55"/>
      <c r="BA282" s="1" t="s">
        <v>162</v>
      </c>
    </row>
    <row r="283" spans="27:56" x14ac:dyDescent="0.25">
      <c r="AA283" s="170" t="s">
        <v>870</v>
      </c>
      <c r="AB283" s="63"/>
      <c r="AC283" s="410"/>
      <c r="AD283" s="63"/>
      <c r="AE283" s="63"/>
      <c r="AF283" s="63"/>
      <c r="AG283" s="63"/>
      <c r="AH283" s="63"/>
      <c r="AI283" s="55"/>
      <c r="AJ283" s="55"/>
      <c r="AK283" s="55"/>
      <c r="BA283" s="1" t="s">
        <v>168</v>
      </c>
    </row>
    <row r="284" spans="27:56" x14ac:dyDescent="0.25">
      <c r="AA284" s="170" t="s">
        <v>871</v>
      </c>
      <c r="AB284" s="63"/>
      <c r="AC284" s="410"/>
      <c r="AD284" s="63"/>
      <c r="AE284" s="63"/>
      <c r="AF284" s="63"/>
      <c r="AG284" s="63"/>
      <c r="AH284" s="63"/>
      <c r="AI284" s="55"/>
      <c r="AJ284" s="55"/>
      <c r="AK284" s="55"/>
      <c r="BA284" s="1" t="s">
        <v>163</v>
      </c>
    </row>
    <row r="285" spans="27:56" x14ac:dyDescent="0.25">
      <c r="AA285" s="170" t="s">
        <v>795</v>
      </c>
      <c r="AB285" s="63"/>
      <c r="AC285" s="410"/>
      <c r="AD285" s="63"/>
      <c r="AE285" s="63"/>
      <c r="AF285" s="63"/>
      <c r="AG285" s="63"/>
      <c r="AH285" s="63"/>
      <c r="AI285" s="55"/>
      <c r="AJ285" s="55"/>
      <c r="AK285" s="55"/>
      <c r="BA285" s="1" t="s">
        <v>169</v>
      </c>
    </row>
    <row r="286" spans="27:56" x14ac:dyDescent="0.25">
      <c r="AA286" s="170" t="s">
        <v>236</v>
      </c>
      <c r="AB286" s="63"/>
      <c r="AC286" s="431"/>
      <c r="AD286" s="63"/>
      <c r="AE286" s="63"/>
      <c r="AF286" s="63"/>
      <c r="AG286" s="63"/>
      <c r="AH286" s="63"/>
      <c r="AI286" s="56"/>
      <c r="AJ286" s="55"/>
      <c r="AK286" s="55"/>
      <c r="BA286" s="1" t="s">
        <v>170</v>
      </c>
    </row>
    <row r="287" spans="27:56" x14ac:dyDescent="0.25">
      <c r="AA287" s="63"/>
      <c r="AB287" s="63"/>
      <c r="AC287" s="63"/>
      <c r="AD287" s="63"/>
      <c r="AE287" s="63"/>
      <c r="AF287" s="63"/>
      <c r="AG287" s="63"/>
      <c r="AH287" s="63"/>
      <c r="AI287" s="56"/>
      <c r="AJ287" s="55"/>
      <c r="AK287" s="55"/>
    </row>
    <row r="288" spans="27:56" x14ac:dyDescent="0.25">
      <c r="AA288" s="63" t="s">
        <v>926</v>
      </c>
      <c r="AB288" s="63"/>
      <c r="AC288" s="63"/>
      <c r="AD288" s="63"/>
      <c r="AE288" s="63"/>
      <c r="AF288" s="63"/>
      <c r="AG288" s="63"/>
      <c r="AH288" s="63"/>
      <c r="AI288" s="56"/>
      <c r="AJ288" s="55"/>
      <c r="AK288" s="55"/>
      <c r="BA288" s="1" t="s">
        <v>171</v>
      </c>
    </row>
    <row r="289" spans="27:61" x14ac:dyDescent="0.25">
      <c r="AA289" s="170" t="s">
        <v>759</v>
      </c>
      <c r="AB289" s="170" t="s">
        <v>818</v>
      </c>
      <c r="AC289" s="431"/>
      <c r="AD289" s="63" t="s">
        <v>1059</v>
      </c>
      <c r="AE289" s="63"/>
      <c r="AF289" s="63"/>
      <c r="AG289" s="63"/>
      <c r="AH289" s="63"/>
      <c r="AI289" s="56"/>
      <c r="AJ289" s="55"/>
      <c r="AK289" s="55"/>
      <c r="BA289" s="1" t="s">
        <v>172</v>
      </c>
      <c r="BB289" s="1" t="s">
        <v>173</v>
      </c>
      <c r="BD289" s="1" t="s">
        <v>174</v>
      </c>
    </row>
    <row r="290" spans="27:61" x14ac:dyDescent="0.25">
      <c r="AA290" s="170" t="s">
        <v>739</v>
      </c>
      <c r="AB290" s="170"/>
      <c r="AC290" s="431"/>
      <c r="AD290" s="63"/>
      <c r="AE290" s="63"/>
      <c r="AF290" s="63"/>
      <c r="AG290" s="63"/>
      <c r="AH290" s="63"/>
      <c r="AI290" s="56"/>
      <c r="AJ290" s="55"/>
      <c r="AK290" s="55"/>
      <c r="BA290" s="1" t="s">
        <v>175</v>
      </c>
    </row>
    <row r="291" spans="27:61" x14ac:dyDescent="0.25">
      <c r="AA291" s="170" t="str">
        <f ca="1">IF(N_AnstellungBefristetAuswahl=1,AG291,"")</f>
        <v/>
      </c>
      <c r="AB291" s="170"/>
      <c r="AC291" s="431" t="str">
        <f>IF('  I  '!AC311=0,"",'  I  '!AC311)</f>
        <v/>
      </c>
      <c r="AD291" s="63"/>
      <c r="AE291" s="63"/>
      <c r="AF291" s="63"/>
      <c r="AG291" s="63" t="s">
        <v>760</v>
      </c>
      <c r="AH291" s="63"/>
      <c r="AI291" s="56"/>
      <c r="AJ291" s="55"/>
      <c r="AK291" s="55"/>
      <c r="BA291" s="1" t="s">
        <v>562</v>
      </c>
      <c r="BG291" s="1" t="s">
        <v>176</v>
      </c>
    </row>
    <row r="292" spans="27:61" x14ac:dyDescent="0.25">
      <c r="AA292" s="63"/>
      <c r="AB292" s="63"/>
      <c r="AC292" s="63"/>
      <c r="AD292" s="63"/>
      <c r="AE292" s="63"/>
      <c r="AF292" s="63"/>
      <c r="AG292" s="63"/>
      <c r="AH292" s="63"/>
      <c r="AI292" s="56"/>
      <c r="AJ292" s="55"/>
      <c r="AK292" s="55"/>
    </row>
    <row r="293" spans="27:61" x14ac:dyDescent="0.25">
      <c r="AA293" s="63" t="s">
        <v>796</v>
      </c>
      <c r="AB293" s="63"/>
      <c r="AC293" s="63"/>
      <c r="AD293" s="63"/>
      <c r="AE293" s="63"/>
      <c r="AF293" s="63"/>
      <c r="AG293" s="63"/>
      <c r="AH293" s="63"/>
      <c r="AI293" s="56"/>
      <c r="AJ293" s="55"/>
      <c r="AK293" s="55"/>
      <c r="BA293" s="1" t="s">
        <v>177</v>
      </c>
    </row>
    <row r="294" spans="27:61" x14ac:dyDescent="0.25">
      <c r="AA294" s="170" t="s">
        <v>634</v>
      </c>
      <c r="AB294" s="314" t="s">
        <v>797</v>
      </c>
      <c r="AC294" s="432"/>
      <c r="AD294" s="425"/>
      <c r="AE294" s="63"/>
      <c r="AF294" s="63"/>
      <c r="AG294" s="63"/>
      <c r="AH294" s="63"/>
      <c r="AI294" s="56"/>
      <c r="AJ294" s="55"/>
      <c r="AK294" s="55"/>
      <c r="BA294" s="1" t="s">
        <v>178</v>
      </c>
      <c r="BB294" s="1" t="s">
        <v>179</v>
      </c>
    </row>
    <row r="295" spans="27:61" x14ac:dyDescent="0.25">
      <c r="AA295" s="63"/>
      <c r="AB295" s="63"/>
      <c r="AC295" s="63"/>
      <c r="AD295" s="63"/>
      <c r="AE295" s="63"/>
      <c r="AF295" s="63"/>
      <c r="AG295" s="63"/>
      <c r="AH295" s="63"/>
      <c r="AI295" s="56"/>
      <c r="AJ295" s="55"/>
      <c r="AK295" s="55"/>
    </row>
    <row r="296" spans="27:61" x14ac:dyDescent="0.25">
      <c r="AA296" s="63" t="s">
        <v>798</v>
      </c>
      <c r="AB296" s="63"/>
      <c r="AC296" s="63"/>
      <c r="AD296" s="63"/>
      <c r="AE296" s="63"/>
      <c r="AF296" s="63"/>
      <c r="AG296" s="63"/>
      <c r="AH296" s="63"/>
      <c r="AI296" s="56"/>
      <c r="AJ296" s="55"/>
      <c r="AK296" s="55"/>
      <c r="BA296" s="1" t="s">
        <v>180</v>
      </c>
    </row>
    <row r="297" spans="27:61" x14ac:dyDescent="0.25">
      <c r="AA297" s="63" t="s">
        <v>861</v>
      </c>
      <c r="AB297" s="63"/>
      <c r="AC297" s="428"/>
      <c r="AD297" s="63"/>
      <c r="AE297" s="63"/>
      <c r="AF297" s="63"/>
      <c r="AG297" s="63"/>
      <c r="AH297" s="63"/>
      <c r="AI297" s="56"/>
      <c r="AJ297" s="55"/>
      <c r="AK297" s="55"/>
      <c r="BA297" s="1" t="s">
        <v>181</v>
      </c>
    </row>
    <row r="298" spans="27:61" x14ac:dyDescent="0.25">
      <c r="AA298" s="63" t="s">
        <v>799</v>
      </c>
      <c r="AB298" s="433"/>
      <c r="AC298" s="410"/>
      <c r="AD298" s="63"/>
      <c r="AE298" s="63"/>
      <c r="AF298" s="63"/>
      <c r="AG298" s="63"/>
      <c r="AH298" s="63"/>
      <c r="AI298" s="56"/>
      <c r="AJ298" s="55"/>
      <c r="AK298" s="55"/>
      <c r="BA298" s="1" t="s">
        <v>182</v>
      </c>
    </row>
    <row r="299" spans="27:61" x14ac:dyDescent="0.25">
      <c r="AA299" s="63" t="s">
        <v>940</v>
      </c>
      <c r="AB299" s="63"/>
      <c r="AC299" s="434"/>
      <c r="AD299" s="63"/>
      <c r="AE299" s="63"/>
      <c r="AF299" s="63"/>
      <c r="AG299" s="63" t="s">
        <v>751</v>
      </c>
      <c r="AH299" s="63"/>
      <c r="AI299" s="56"/>
      <c r="AJ299" s="55"/>
      <c r="AK299" s="55"/>
      <c r="BA299" s="1" t="s">
        <v>183</v>
      </c>
      <c r="BG299" s="1" t="s">
        <v>184</v>
      </c>
    </row>
    <row r="300" spans="27:61" x14ac:dyDescent="0.25">
      <c r="AA300" s="63"/>
      <c r="AB300" s="63"/>
      <c r="AC300" s="63"/>
      <c r="AD300" s="63"/>
      <c r="AE300" s="63"/>
      <c r="AF300" s="63"/>
      <c r="AG300" s="63"/>
      <c r="AH300" s="63"/>
      <c r="AI300" s="56"/>
      <c r="AJ300" s="55"/>
      <c r="AK300" s="55"/>
    </row>
    <row r="301" spans="27:61" x14ac:dyDescent="0.25">
      <c r="AA301" s="63" t="s">
        <v>1154</v>
      </c>
      <c r="AB301" s="63"/>
      <c r="AC301" s="63"/>
      <c r="AD301" s="63"/>
      <c r="AE301" s="63"/>
      <c r="AF301" s="63"/>
      <c r="AG301" s="63"/>
      <c r="AH301" s="63"/>
      <c r="AI301" s="56" t="s">
        <v>1252</v>
      </c>
      <c r="AJ301" s="55"/>
      <c r="AK301" s="55"/>
      <c r="BA301" s="1" t="s">
        <v>185</v>
      </c>
      <c r="BI301" s="1" t="s">
        <v>1081</v>
      </c>
    </row>
    <row r="302" spans="27:61" x14ac:dyDescent="0.25">
      <c r="AA302" s="63"/>
      <c r="AB302" s="63"/>
      <c r="AC302" s="63"/>
      <c r="AD302" s="63"/>
      <c r="AE302" s="63"/>
      <c r="AF302" s="63"/>
      <c r="AG302" s="63"/>
      <c r="AH302" s="63"/>
      <c r="AI302" s="56"/>
      <c r="AJ302" s="55"/>
      <c r="AK302" s="55"/>
    </row>
    <row r="303" spans="27:61" x14ac:dyDescent="0.25">
      <c r="AA303" s="63"/>
      <c r="AB303" s="63"/>
      <c r="AC303" s="63"/>
      <c r="AD303" s="63"/>
      <c r="AE303" s="63"/>
      <c r="AF303" s="63"/>
      <c r="AG303" s="63"/>
      <c r="AH303" s="63"/>
      <c r="AI303" s="56"/>
      <c r="AJ303" s="55"/>
      <c r="AK303" s="55"/>
    </row>
    <row r="304" spans="27:61" x14ac:dyDescent="0.25">
      <c r="AA304" s="63" t="s">
        <v>598</v>
      </c>
      <c r="AB304" s="63"/>
      <c r="AC304" s="410"/>
      <c r="AD304" s="63"/>
      <c r="AE304" s="63"/>
      <c r="AF304" s="63"/>
      <c r="AG304" s="435"/>
      <c r="AH304" s="375"/>
      <c r="AI304" s="56"/>
      <c r="AJ304" s="55"/>
      <c r="AK304" s="55"/>
      <c r="BA304" s="1" t="s">
        <v>1071</v>
      </c>
    </row>
    <row r="305" spans="27:62" x14ac:dyDescent="0.25">
      <c r="AA305" s="63" t="s">
        <v>107</v>
      </c>
      <c r="AB305" s="314"/>
      <c r="AC305" s="436"/>
      <c r="AD305" s="170"/>
      <c r="AE305" s="63"/>
      <c r="AF305" s="425"/>
      <c r="AG305" s="425" t="s">
        <v>952</v>
      </c>
      <c r="AH305" s="425" t="s">
        <v>1166</v>
      </c>
      <c r="AI305" s="425" t="s">
        <v>952</v>
      </c>
      <c r="AJ305" s="55"/>
      <c r="AK305" s="55"/>
      <c r="BA305" s="1" t="s">
        <v>186</v>
      </c>
      <c r="BG305" s="1" t="s">
        <v>187</v>
      </c>
      <c r="BH305" s="1" t="s">
        <v>188</v>
      </c>
      <c r="BI305" s="1" t="s">
        <v>187</v>
      </c>
    </row>
    <row r="306" spans="27:62" x14ac:dyDescent="0.25">
      <c r="AA306" s="63"/>
      <c r="AB306" s="150"/>
      <c r="AC306" s="428"/>
      <c r="AD306" s="843" t="s">
        <v>1431</v>
      </c>
      <c r="AE306" s="63"/>
      <c r="AF306" s="63"/>
      <c r="AG306" s="63" t="s">
        <v>803</v>
      </c>
      <c r="AH306" s="63" t="s">
        <v>1167</v>
      </c>
      <c r="AI306" s="56"/>
      <c r="AJ306" s="55" t="s">
        <v>1192</v>
      </c>
      <c r="AK306" s="55"/>
      <c r="BD306" s="96" t="s">
        <v>1432</v>
      </c>
      <c r="BG306" s="1" t="s">
        <v>189</v>
      </c>
      <c r="BH306" s="1" t="s">
        <v>190</v>
      </c>
      <c r="BJ306" s="61" t="s">
        <v>1195</v>
      </c>
    </row>
    <row r="307" spans="27:62" x14ac:dyDescent="0.25">
      <c r="AA307" s="63"/>
      <c r="AB307" s="63"/>
      <c r="AC307" s="437"/>
      <c r="AD307" s="63"/>
      <c r="AE307" s="426"/>
      <c r="AF307" s="63"/>
      <c r="AG307" s="63" t="s">
        <v>804</v>
      </c>
      <c r="AH307" s="63" t="s">
        <v>1060</v>
      </c>
      <c r="AI307" s="429"/>
      <c r="AJ307" s="87"/>
      <c r="AK307" s="55"/>
      <c r="BG307" s="1" t="s">
        <v>191</v>
      </c>
      <c r="BH307" s="1" t="s">
        <v>192</v>
      </c>
    </row>
    <row r="308" spans="27:62" x14ac:dyDescent="0.25">
      <c r="AA308" s="311"/>
      <c r="AB308" s="63"/>
      <c r="AC308" s="410"/>
      <c r="AD308" s="63"/>
      <c r="AE308" s="63"/>
      <c r="AF308" s="63"/>
      <c r="AG308" s="63" t="s">
        <v>805</v>
      </c>
      <c r="AH308" s="63"/>
      <c r="AI308" s="56"/>
      <c r="AJ308" s="55"/>
      <c r="AK308" s="55"/>
      <c r="BG308" s="1" t="s">
        <v>193</v>
      </c>
    </row>
    <row r="309" spans="27:62" x14ac:dyDescent="0.25">
      <c r="AA309" s="63" t="s">
        <v>806</v>
      </c>
      <c r="AB309" s="150" t="s">
        <v>807</v>
      </c>
      <c r="AC309" s="438"/>
      <c r="AD309" s="63"/>
      <c r="AE309" s="63"/>
      <c r="AF309" s="63"/>
      <c r="AG309" s="375"/>
      <c r="AH309" s="63" t="s">
        <v>808</v>
      </c>
      <c r="AI309" s="56"/>
      <c r="AJ309" s="55"/>
      <c r="AK309" s="55"/>
      <c r="BA309" s="1" t="s">
        <v>194</v>
      </c>
      <c r="BB309" s="1" t="s">
        <v>195</v>
      </c>
      <c r="BH309" s="1" t="s">
        <v>196</v>
      </c>
    </row>
    <row r="310" spans="27:62" x14ac:dyDescent="0.25">
      <c r="AA310" s="63" t="s">
        <v>878</v>
      </c>
      <c r="AB310" s="63"/>
      <c r="AC310" s="428"/>
      <c r="AD310" s="63"/>
      <c r="AE310" s="63"/>
      <c r="AF310" s="63"/>
      <c r="AG310" s="63"/>
      <c r="AH310" s="63"/>
      <c r="AI310" s="56"/>
      <c r="AJ310" s="55"/>
      <c r="AK310" s="55"/>
      <c r="BA310" s="1" t="s">
        <v>197</v>
      </c>
    </row>
    <row r="311" spans="27:62" x14ac:dyDescent="0.25">
      <c r="AA311" s="311" t="str">
        <f ca="1">IF(VLOOKUP(AC310,A_JaNein_Auswahl,2,0)=1,AG311,"")</f>
        <v/>
      </c>
      <c r="AB311" s="63" t="str">
        <f ca="1">IF(VLOOKUP(AC310,A_JaNein_Auswahl,2,0)=1,B_AuswahlSpalteC,"")</f>
        <v/>
      </c>
      <c r="AC311" s="428"/>
      <c r="AD311" s="63"/>
      <c r="AE311" s="63"/>
      <c r="AF311" s="63"/>
      <c r="AG311" s="63" t="s">
        <v>809</v>
      </c>
      <c r="AH311" s="63"/>
      <c r="AI311" s="56"/>
      <c r="AJ311" s="55"/>
      <c r="AK311" s="55"/>
      <c r="BG311" s="1" t="s">
        <v>261</v>
      </c>
    </row>
    <row r="312" spans="27:62" x14ac:dyDescent="0.25">
      <c r="AA312" s="63" t="s">
        <v>821</v>
      </c>
      <c r="AB312" s="150" t="s">
        <v>822</v>
      </c>
      <c r="AC312" s="439"/>
      <c r="AD312" s="63"/>
      <c r="AE312" s="63"/>
      <c r="AF312" s="63"/>
      <c r="AG312" s="311"/>
      <c r="AH312" s="63"/>
      <c r="AI312" s="56"/>
      <c r="AJ312" s="55"/>
      <c r="AK312" s="55"/>
      <c r="BA312" s="1" t="s">
        <v>262</v>
      </c>
      <c r="BB312" s="1" t="s">
        <v>263</v>
      </c>
    </row>
    <row r="313" spans="27:62" x14ac:dyDescent="0.25">
      <c r="AA313" s="311" t="s">
        <v>810</v>
      </c>
      <c r="AB313" s="63"/>
      <c r="AC313" s="439"/>
      <c r="AD313" s="63"/>
      <c r="AE313" s="63"/>
      <c r="AF313" s="63"/>
      <c r="AG313" s="63"/>
      <c r="AH313" s="63"/>
      <c r="AI313" s="56"/>
      <c r="AJ313" s="55"/>
      <c r="AK313" s="55"/>
      <c r="BA313" s="1" t="s">
        <v>264</v>
      </c>
    </row>
    <row r="314" spans="27:62" x14ac:dyDescent="0.25">
      <c r="AA314" s="63"/>
      <c r="AB314" s="63"/>
      <c r="AC314" s="63"/>
      <c r="AD314" s="63"/>
      <c r="AE314" s="63"/>
      <c r="AF314" s="63"/>
      <c r="AG314" s="63"/>
      <c r="AH314" s="63"/>
      <c r="AI314" s="56"/>
      <c r="AJ314" s="55"/>
      <c r="AK314" s="55"/>
    </row>
    <row r="315" spans="27:62" x14ac:dyDescent="0.25">
      <c r="AA315" s="63" t="s">
        <v>941</v>
      </c>
      <c r="AB315" s="63"/>
      <c r="AC315" s="63" t="s">
        <v>942</v>
      </c>
      <c r="AD315" s="63" t="s">
        <v>582</v>
      </c>
      <c r="AE315" s="63"/>
      <c r="AF315" s="63"/>
      <c r="AG315" s="206"/>
      <c r="AH315" s="63"/>
      <c r="AI315" s="56"/>
      <c r="AJ315" s="55"/>
      <c r="AK315" s="55"/>
      <c r="BA315" s="1" t="s">
        <v>265</v>
      </c>
      <c r="BC315" s="1" t="s">
        <v>266</v>
      </c>
      <c r="BD315" s="1" t="s">
        <v>267</v>
      </c>
    </row>
    <row r="316" spans="27:62" x14ac:dyDescent="0.25">
      <c r="AA316" s="63" t="s">
        <v>943</v>
      </c>
      <c r="AB316" s="150" t="s">
        <v>807</v>
      </c>
      <c r="AC316" s="440"/>
      <c r="AD316" s="440"/>
      <c r="AE316" s="63"/>
      <c r="AF316" s="63"/>
      <c r="AG316" s="306"/>
      <c r="AH316" s="63"/>
      <c r="AI316" s="87"/>
      <c r="AJ316" s="55"/>
      <c r="AK316" s="55"/>
      <c r="BA316" s="1" t="s">
        <v>268</v>
      </c>
      <c r="BB316" s="1" t="s">
        <v>195</v>
      </c>
    </row>
    <row r="317" spans="27:62" x14ac:dyDescent="0.25">
      <c r="AA317" s="63" t="s">
        <v>944</v>
      </c>
      <c r="AB317" s="150" t="s">
        <v>807</v>
      </c>
      <c r="AC317" s="440"/>
      <c r="AD317" s="440"/>
      <c r="AE317" s="63"/>
      <c r="AF317" s="63"/>
      <c r="AG317" s="63"/>
      <c r="AH317" s="63"/>
      <c r="AI317" s="55"/>
      <c r="AJ317" s="55"/>
      <c r="AK317" s="55"/>
      <c r="BA317" s="1" t="s">
        <v>269</v>
      </c>
      <c r="BB317" s="1" t="s">
        <v>195</v>
      </c>
    </row>
    <row r="318" spans="27:62" x14ac:dyDescent="0.25">
      <c r="AA318" s="63" t="s">
        <v>945</v>
      </c>
      <c r="AB318" s="63" t="s">
        <v>823</v>
      </c>
      <c r="AC318" s="63"/>
      <c r="AD318" s="63"/>
      <c r="AE318" s="63"/>
      <c r="AF318" s="63"/>
      <c r="AG318" s="63"/>
      <c r="AH318" s="63"/>
      <c r="AI318" s="55"/>
      <c r="AJ318" s="55"/>
      <c r="AK318" s="55"/>
      <c r="BA318" s="1" t="s">
        <v>270</v>
      </c>
      <c r="BB318" s="1" t="s">
        <v>271</v>
      </c>
    </row>
    <row r="319" spans="27:62" x14ac:dyDescent="0.25">
      <c r="AA319" s="311" t="s">
        <v>1162</v>
      </c>
      <c r="AB319" s="150" t="s">
        <v>807</v>
      </c>
      <c r="AC319" s="440"/>
      <c r="AD319" s="63"/>
      <c r="AE319" s="63"/>
      <c r="AF319" s="63"/>
      <c r="AG319" s="63"/>
      <c r="AH319" s="63"/>
      <c r="AI319" s="55"/>
      <c r="AJ319" s="55"/>
      <c r="AK319" s="55"/>
      <c r="BA319" s="1" t="s">
        <v>829</v>
      </c>
      <c r="BB319" s="1" t="s">
        <v>195</v>
      </c>
    </row>
    <row r="320" spans="27:62" x14ac:dyDescent="0.25">
      <c r="AA320" s="311" t="s">
        <v>1163</v>
      </c>
      <c r="AB320" s="150" t="s">
        <v>807</v>
      </c>
      <c r="AC320" s="440"/>
      <c r="AD320" s="63"/>
      <c r="AE320" s="63"/>
      <c r="AF320" s="63"/>
      <c r="AG320" s="63"/>
      <c r="AH320" s="63"/>
      <c r="AI320" s="55"/>
      <c r="AJ320" s="55"/>
      <c r="AK320" s="55"/>
      <c r="BA320" s="1" t="s">
        <v>828</v>
      </c>
      <c r="BB320" s="1" t="s">
        <v>195</v>
      </c>
    </row>
    <row r="321" spans="27:60" x14ac:dyDescent="0.25">
      <c r="AA321" s="63" t="s">
        <v>947</v>
      </c>
      <c r="AB321" s="63" t="s">
        <v>823</v>
      </c>
      <c r="AC321" s="63"/>
      <c r="AD321" s="63"/>
      <c r="AE321" s="63"/>
      <c r="AF321" s="63"/>
      <c r="AG321" s="63"/>
      <c r="AH321" s="63"/>
      <c r="AI321" s="55"/>
      <c r="AJ321" s="55"/>
      <c r="AK321" s="55"/>
      <c r="BA321" s="1" t="s">
        <v>272</v>
      </c>
      <c r="BB321" s="1" t="s">
        <v>271</v>
      </c>
    </row>
    <row r="322" spans="27:60" x14ac:dyDescent="0.25">
      <c r="AA322" s="311" t="s">
        <v>1164</v>
      </c>
      <c r="AB322" s="150" t="s">
        <v>807</v>
      </c>
      <c r="AC322" s="440"/>
      <c r="AD322" s="63"/>
      <c r="AE322" s="63"/>
      <c r="AF322" s="63"/>
      <c r="AG322" s="63"/>
      <c r="AH322" s="63"/>
      <c r="AI322" s="55"/>
      <c r="AJ322" s="55"/>
      <c r="AK322" s="55"/>
      <c r="BA322" s="1" t="s">
        <v>831</v>
      </c>
      <c r="BB322" s="1" t="s">
        <v>195</v>
      </c>
    </row>
    <row r="323" spans="27:60" x14ac:dyDescent="0.25">
      <c r="AA323" s="311" t="s">
        <v>1165</v>
      </c>
      <c r="AB323" s="150" t="s">
        <v>952</v>
      </c>
      <c r="AC323" s="441"/>
      <c r="AD323" s="63"/>
      <c r="AE323" s="63"/>
      <c r="AF323" s="63"/>
      <c r="AG323" s="63"/>
      <c r="AH323" s="63"/>
      <c r="AI323" s="55"/>
      <c r="AJ323" s="55"/>
      <c r="AK323" s="55"/>
      <c r="BA323" s="1" t="s">
        <v>830</v>
      </c>
      <c r="BB323" s="1" t="s">
        <v>273</v>
      </c>
    </row>
    <row r="324" spans="27:60" x14ac:dyDescent="0.25">
      <c r="AA324" s="63" t="s">
        <v>948</v>
      </c>
      <c r="AB324" s="150" t="s">
        <v>807</v>
      </c>
      <c r="AC324" s="440"/>
      <c r="AD324" s="440"/>
      <c r="AE324" s="63"/>
      <c r="AF324" s="63"/>
      <c r="AG324" s="63"/>
      <c r="AH324" s="63"/>
      <c r="AI324" s="55"/>
      <c r="AJ324" s="55"/>
      <c r="AK324" s="55"/>
      <c r="BA324" s="1" t="s">
        <v>274</v>
      </c>
      <c r="BB324" s="1" t="s">
        <v>195</v>
      </c>
    </row>
    <row r="325" spans="27:60" x14ac:dyDescent="0.25">
      <c r="AA325" s="63" t="s">
        <v>459</v>
      </c>
      <c r="AB325" s="150" t="s">
        <v>952</v>
      </c>
      <c r="AC325" s="428"/>
      <c r="AD325" s="441"/>
      <c r="AE325" s="63"/>
      <c r="AF325" s="63"/>
      <c r="AG325" s="63"/>
      <c r="AH325" s="63"/>
      <c r="AI325" s="55"/>
      <c r="AJ325" s="55"/>
      <c r="AK325" s="55"/>
      <c r="BA325" s="1" t="s">
        <v>932</v>
      </c>
      <c r="BB325" s="1" t="s">
        <v>273</v>
      </c>
    </row>
    <row r="326" spans="27:60" x14ac:dyDescent="0.25">
      <c r="AA326" s="87" t="s">
        <v>950</v>
      </c>
      <c r="AB326" s="150" t="s">
        <v>807</v>
      </c>
      <c r="AC326" s="440"/>
      <c r="AD326" s="440"/>
      <c r="AE326" s="63"/>
      <c r="AF326" s="63"/>
      <c r="AG326" s="63"/>
      <c r="AH326" s="63"/>
      <c r="AI326" s="55"/>
      <c r="AJ326" s="55"/>
      <c r="AK326" s="55"/>
      <c r="BA326" s="1" t="s">
        <v>275</v>
      </c>
      <c r="BB326" s="1" t="s">
        <v>195</v>
      </c>
    </row>
    <row r="327" spans="27:60" x14ac:dyDescent="0.25">
      <c r="AA327" s="63" t="s">
        <v>949</v>
      </c>
      <c r="AB327" s="150" t="s">
        <v>807</v>
      </c>
      <c r="AC327" s="440"/>
      <c r="AD327" s="440"/>
      <c r="AE327" s="63"/>
      <c r="AF327" s="63"/>
      <c r="AG327" s="63"/>
      <c r="AH327" s="63"/>
      <c r="AI327" s="55"/>
      <c r="AJ327" s="55"/>
      <c r="AK327" s="55"/>
      <c r="BA327" s="1" t="s">
        <v>276</v>
      </c>
      <c r="BB327" s="1" t="s">
        <v>195</v>
      </c>
    </row>
    <row r="328" spans="27:60" x14ac:dyDescent="0.25">
      <c r="AA328" s="63"/>
      <c r="AB328" s="63"/>
      <c r="AC328" s="63"/>
      <c r="AD328" s="63"/>
      <c r="AE328" s="63"/>
      <c r="AF328" s="63"/>
      <c r="AG328" s="63"/>
      <c r="AH328" s="63"/>
      <c r="AI328" s="55"/>
      <c r="AJ328" s="55"/>
      <c r="AK328" s="55"/>
    </row>
    <row r="329" spans="27:60" x14ac:dyDescent="0.25">
      <c r="AA329" s="63" t="s">
        <v>951</v>
      </c>
      <c r="AB329" s="150" t="s">
        <v>952</v>
      </c>
      <c r="AC329" s="441"/>
      <c r="AD329" s="63"/>
      <c r="AE329" s="63"/>
      <c r="AF329" s="63"/>
      <c r="AG329" s="63" t="s">
        <v>1240</v>
      </c>
      <c r="AH329" s="63" t="s">
        <v>1241</v>
      </c>
      <c r="AI329" s="55"/>
      <c r="AJ329" s="55"/>
      <c r="AK329" s="55"/>
      <c r="BA329" s="1" t="s">
        <v>277</v>
      </c>
      <c r="BB329" s="1" t="s">
        <v>273</v>
      </c>
      <c r="BD329" s="63"/>
      <c r="BG329" s="1" t="s">
        <v>1243</v>
      </c>
      <c r="BH329" s="635" t="str">
        <f>""</f>
        <v/>
      </c>
    </row>
    <row r="330" spans="27:60" x14ac:dyDescent="0.25">
      <c r="AA330" s="63" t="s">
        <v>953</v>
      </c>
      <c r="AB330" s="150" t="s">
        <v>807</v>
      </c>
      <c r="AC330" s="440"/>
      <c r="AD330" s="63"/>
      <c r="AE330" s="63"/>
      <c r="AF330" s="63"/>
      <c r="AG330" s="63" t="s">
        <v>1240</v>
      </c>
      <c r="AH330" s="63" t="s">
        <v>1241</v>
      </c>
      <c r="AI330" s="55"/>
      <c r="AJ330" s="55"/>
      <c r="AK330" s="55"/>
      <c r="BA330" s="1" t="s">
        <v>278</v>
      </c>
      <c r="BB330" s="1" t="s">
        <v>195</v>
      </c>
      <c r="BG330" s="1" t="s">
        <v>1243</v>
      </c>
      <c r="BH330" s="635" t="str">
        <f>""</f>
        <v/>
      </c>
    </row>
    <row r="331" spans="27:60" x14ac:dyDescent="0.25">
      <c r="AA331" s="63"/>
      <c r="AB331" s="63"/>
      <c r="AC331" s="63"/>
      <c r="AD331" s="63"/>
      <c r="AE331" s="63"/>
      <c r="AF331" s="63"/>
      <c r="AG331" s="63"/>
      <c r="AH331" s="63"/>
      <c r="AI331" s="55"/>
      <c r="AJ331" s="55"/>
      <c r="AK331" s="55"/>
    </row>
    <row r="332" spans="27:60" x14ac:dyDescent="0.25">
      <c r="AA332" s="63" t="s">
        <v>1253</v>
      </c>
      <c r="AB332" s="63" t="s">
        <v>1247</v>
      </c>
      <c r="AC332" s="63"/>
      <c r="AE332" s="63"/>
      <c r="AF332" s="63" t="s">
        <v>1248</v>
      </c>
      <c r="AG332" s="63"/>
      <c r="AH332" s="63"/>
      <c r="AI332" s="55"/>
      <c r="AJ332" s="55"/>
      <c r="AK332" s="55"/>
      <c r="BA332" s="63" t="s">
        <v>1251</v>
      </c>
      <c r="BB332" s="63" t="s">
        <v>1249</v>
      </c>
      <c r="BC332" s="63"/>
      <c r="BF332" s="63" t="s">
        <v>1250</v>
      </c>
    </row>
    <row r="333" spans="27:60" x14ac:dyDescent="0.25">
      <c r="AA333" s="63"/>
      <c r="AB333" s="63"/>
      <c r="AC333" s="63"/>
      <c r="AD333" s="63"/>
      <c r="AE333" s="63"/>
      <c r="AF333" s="63"/>
      <c r="AG333" s="63"/>
      <c r="AH333" s="63"/>
      <c r="AI333" s="55"/>
      <c r="AJ333" s="55"/>
      <c r="AK333" s="55"/>
    </row>
    <row r="334" spans="27:60" x14ac:dyDescent="0.25">
      <c r="AA334" s="63" t="s">
        <v>811</v>
      </c>
      <c r="AB334" s="63"/>
      <c r="AC334" s="63"/>
      <c r="AD334" s="63"/>
      <c r="AE334" s="63"/>
      <c r="AF334" s="63"/>
      <c r="AG334" s="63"/>
      <c r="AH334" s="63"/>
      <c r="AI334" s="55"/>
      <c r="AJ334" s="55"/>
      <c r="AK334" s="55"/>
      <c r="BA334" s="1" t="s">
        <v>279</v>
      </c>
    </row>
    <row r="335" spans="27:60" x14ac:dyDescent="0.25">
      <c r="AA335" s="63" t="s">
        <v>880</v>
      </c>
      <c r="AB335" s="150" t="s">
        <v>812</v>
      </c>
      <c r="AC335" s="410"/>
      <c r="AD335" s="63"/>
      <c r="AE335" s="63"/>
      <c r="AF335" s="63"/>
      <c r="AG335" s="63"/>
      <c r="AH335" s="63"/>
      <c r="AI335" s="55"/>
      <c r="AJ335" s="55"/>
      <c r="AK335" s="55"/>
      <c r="BA335" s="1" t="s">
        <v>280</v>
      </c>
      <c r="BB335" s="1" t="s">
        <v>281</v>
      </c>
    </row>
    <row r="336" spans="27:60" x14ac:dyDescent="0.25">
      <c r="AA336" s="63" t="s">
        <v>638</v>
      </c>
      <c r="AB336" s="63"/>
      <c r="AC336" s="63"/>
      <c r="AD336" s="63"/>
      <c r="AE336" s="63"/>
      <c r="AF336" s="63"/>
      <c r="AG336" s="63"/>
      <c r="AH336" s="63"/>
      <c r="AI336" s="55"/>
      <c r="AJ336" s="55"/>
      <c r="AK336" s="55"/>
      <c r="BA336" s="1" t="s">
        <v>639</v>
      </c>
    </row>
    <row r="337" spans="27:59" x14ac:dyDescent="0.25">
      <c r="AA337" s="63" t="s">
        <v>824</v>
      </c>
      <c r="AB337" s="63"/>
      <c r="AC337" s="63"/>
      <c r="AD337" s="63"/>
      <c r="AE337" s="63"/>
      <c r="AF337" s="63"/>
      <c r="AG337" s="63"/>
      <c r="AH337" s="63"/>
      <c r="AI337" s="55"/>
      <c r="AJ337" s="55"/>
      <c r="AK337" s="55"/>
      <c r="BA337" s="1" t="s">
        <v>282</v>
      </c>
    </row>
    <row r="338" spans="27:59" x14ac:dyDescent="0.25">
      <c r="AA338" s="395" t="s">
        <v>865</v>
      </c>
      <c r="AB338" s="395"/>
      <c r="AC338" s="395"/>
      <c r="AD338" s="395"/>
      <c r="AE338" s="395"/>
      <c r="AF338" s="395"/>
      <c r="AG338" s="395"/>
      <c r="AH338" s="395"/>
      <c r="AI338" s="402"/>
      <c r="AJ338" s="402"/>
      <c r="AK338" s="402"/>
      <c r="BA338" s="1" t="s">
        <v>283</v>
      </c>
    </row>
    <row r="339" spans="27:59" x14ac:dyDescent="0.25">
      <c r="AA339" s="63" t="s">
        <v>825</v>
      </c>
      <c r="AB339" s="150" t="s">
        <v>620</v>
      </c>
      <c r="AC339" s="432"/>
      <c r="AD339" s="311"/>
      <c r="AE339" s="63"/>
      <c r="AF339" s="63"/>
      <c r="AG339" s="63"/>
      <c r="AH339" s="63"/>
      <c r="AI339" s="55"/>
      <c r="AJ339" s="55"/>
      <c r="AK339" s="55"/>
      <c r="BA339" s="1" t="s">
        <v>284</v>
      </c>
      <c r="BB339" s="1" t="s">
        <v>285</v>
      </c>
    </row>
    <row r="340" spans="27:59" x14ac:dyDescent="0.25">
      <c r="AA340" s="63" t="s">
        <v>826</v>
      </c>
      <c r="AB340" s="150" t="s">
        <v>620</v>
      </c>
      <c r="AC340" s="432" t="str">
        <f>IF('  I  '!AC358=0,"",'  I  '!AC358)</f>
        <v/>
      </c>
      <c r="AD340" s="311"/>
      <c r="AE340" s="63"/>
      <c r="AF340" s="63"/>
      <c r="AG340" s="63"/>
      <c r="AH340" s="63"/>
      <c r="AI340" s="55"/>
      <c r="AJ340" s="55"/>
      <c r="AK340" s="55"/>
      <c r="BA340" s="1" t="s">
        <v>286</v>
      </c>
      <c r="BB340" s="1" t="s">
        <v>285</v>
      </c>
    </row>
    <row r="341" spans="27:59" x14ac:dyDescent="0.25">
      <c r="AA341" s="63" t="s">
        <v>827</v>
      </c>
      <c r="AB341" s="63"/>
      <c r="AC341" s="428" t="str">
        <f>IF('  I  '!AC359=0,"",'  I  '!AC359)</f>
        <v/>
      </c>
      <c r="AD341" s="311"/>
      <c r="AE341" s="63"/>
      <c r="AF341" s="63"/>
      <c r="AG341" s="63"/>
      <c r="AH341" s="63"/>
      <c r="AI341" s="55"/>
      <c r="AJ341" s="55"/>
      <c r="AK341" s="55"/>
      <c r="BA341" s="1" t="s">
        <v>287</v>
      </c>
    </row>
    <row r="342" spans="27:59" x14ac:dyDescent="0.25">
      <c r="AA342" s="63" t="s">
        <v>385</v>
      </c>
      <c r="AB342" s="63"/>
      <c r="AC342" s="431"/>
      <c r="AD342" s="311" t="s">
        <v>753</v>
      </c>
      <c r="AE342" s="63"/>
      <c r="AF342" s="63"/>
      <c r="AG342" s="63" t="s">
        <v>752</v>
      </c>
      <c r="AH342" s="63"/>
      <c r="AI342" s="55"/>
      <c r="AJ342" s="55"/>
      <c r="AK342" s="55"/>
      <c r="BA342" s="1" t="s">
        <v>288</v>
      </c>
      <c r="BD342" s="96" t="s">
        <v>1183</v>
      </c>
      <c r="BG342" s="96" t="s">
        <v>1184</v>
      </c>
    </row>
    <row r="343" spans="27:59" x14ac:dyDescent="0.25">
      <c r="AA343" s="63" t="s">
        <v>386</v>
      </c>
      <c r="AB343" s="63"/>
      <c r="AC343" s="410" t="str">
        <f>IF('  I  '!AC361=0,"",'  I  '!AC361)</f>
        <v/>
      </c>
      <c r="AD343" s="311"/>
      <c r="AE343" s="63"/>
      <c r="AF343" s="63"/>
      <c r="AG343" s="63"/>
      <c r="AH343" s="63"/>
      <c r="AI343" s="55"/>
      <c r="AJ343" s="55"/>
      <c r="AK343" s="55"/>
      <c r="BA343" s="1" t="s">
        <v>289</v>
      </c>
    </row>
    <row r="344" spans="27:59" x14ac:dyDescent="0.25">
      <c r="AA344" s="63"/>
      <c r="AB344" s="63"/>
      <c r="AC344" s="63"/>
      <c r="AD344" s="311"/>
      <c r="AE344" s="63"/>
      <c r="AF344" s="63"/>
      <c r="AG344" s="63"/>
      <c r="AH344" s="63"/>
      <c r="AI344" s="55"/>
      <c r="AJ344" s="55"/>
      <c r="AK344" s="55"/>
    </row>
    <row r="345" spans="27:59" x14ac:dyDescent="0.25">
      <c r="AA345" s="63" t="s">
        <v>851</v>
      </c>
      <c r="AB345" s="63"/>
      <c r="AC345" s="63"/>
      <c r="AD345" s="311"/>
      <c r="AE345" s="63"/>
      <c r="AF345" s="63"/>
      <c r="AG345" s="63"/>
      <c r="AH345" s="63"/>
      <c r="AI345" s="55"/>
      <c r="AJ345" s="55"/>
      <c r="AK345" s="55"/>
      <c r="BA345" s="1" t="s">
        <v>290</v>
      </c>
    </row>
    <row r="346" spans="27:59" x14ac:dyDescent="0.25">
      <c r="AA346" s="87" t="s">
        <v>1441</v>
      </c>
      <c r="AB346" s="63"/>
      <c r="AC346" s="63"/>
      <c r="AD346" s="311"/>
      <c r="AE346" s="63"/>
      <c r="AF346" s="63"/>
      <c r="AG346" s="63"/>
      <c r="AH346" s="63"/>
      <c r="AI346" s="55"/>
      <c r="AJ346" s="55"/>
      <c r="AK346" s="55"/>
      <c r="BA346" s="96" t="s">
        <v>1442</v>
      </c>
    </row>
    <row r="347" spans="27:59" x14ac:dyDescent="0.25">
      <c r="AA347" s="63" t="s">
        <v>483</v>
      </c>
      <c r="AB347" s="63"/>
      <c r="AC347" s="63"/>
      <c r="AD347" s="311"/>
      <c r="AE347" s="63"/>
      <c r="AF347" s="63"/>
      <c r="AG347" s="63"/>
      <c r="AH347" s="63"/>
      <c r="AI347" s="55"/>
      <c r="AJ347" s="55"/>
      <c r="AK347" s="55"/>
      <c r="BA347" s="63" t="s">
        <v>488</v>
      </c>
    </row>
    <row r="348" spans="27:59" x14ac:dyDescent="0.25">
      <c r="AA348" s="63" t="s">
        <v>1061</v>
      </c>
      <c r="AB348" s="63"/>
      <c r="AC348" s="63"/>
      <c r="AD348" s="311"/>
      <c r="AE348" s="63"/>
      <c r="AF348" s="63"/>
      <c r="AG348" s="63"/>
      <c r="AH348" s="63"/>
      <c r="AI348" s="55"/>
      <c r="AJ348" s="55"/>
      <c r="AK348" s="55"/>
      <c r="BA348" s="1" t="s">
        <v>1196</v>
      </c>
    </row>
    <row r="349" spans="27:59" x14ac:dyDescent="0.25">
      <c r="AA349" s="63" t="s">
        <v>853</v>
      </c>
      <c r="AB349" s="150" t="s">
        <v>882</v>
      </c>
      <c r="AC349" s="410"/>
      <c r="AD349" s="311"/>
      <c r="AE349" s="63"/>
      <c r="AF349" s="63"/>
      <c r="AG349" s="63"/>
      <c r="AH349" s="63"/>
      <c r="AI349" s="55"/>
      <c r="AJ349" s="55"/>
      <c r="AK349" s="55"/>
      <c r="BA349" s="1" t="s">
        <v>292</v>
      </c>
      <c r="BB349" s="1" t="s">
        <v>1111</v>
      </c>
    </row>
    <row r="350" spans="27:59" x14ac:dyDescent="0.25">
      <c r="AA350" s="63" t="s">
        <v>1064</v>
      </c>
      <c r="AB350" s="150" t="s">
        <v>852</v>
      </c>
      <c r="AC350" s="438" t="str">
        <f>IF('  I  '!AC368=0,"",'  I  '!AC368)</f>
        <v/>
      </c>
      <c r="AD350" s="311"/>
      <c r="AE350" s="63"/>
      <c r="AF350" s="63"/>
      <c r="AG350" s="63"/>
      <c r="AH350" s="63"/>
      <c r="AI350" s="55"/>
      <c r="AJ350" s="55"/>
      <c r="AK350" s="55"/>
      <c r="BA350" s="1" t="s">
        <v>293</v>
      </c>
      <c r="BB350" s="1" t="s">
        <v>294</v>
      </c>
    </row>
    <row r="351" spans="27:59" x14ac:dyDescent="0.25">
      <c r="AA351" s="63" t="s">
        <v>1062</v>
      </c>
      <c r="AB351" s="150" t="s">
        <v>852</v>
      </c>
      <c r="AC351" s="438"/>
      <c r="AD351" s="442"/>
      <c r="AE351" s="63"/>
      <c r="AF351" s="63"/>
      <c r="AG351" s="63"/>
      <c r="AH351" s="63"/>
      <c r="AI351" s="55"/>
      <c r="AJ351" s="55"/>
      <c r="AK351" s="55"/>
      <c r="BA351" s="1" t="s">
        <v>295</v>
      </c>
      <c r="BB351" s="1" t="s">
        <v>294</v>
      </c>
    </row>
    <row r="352" spans="27:59" x14ac:dyDescent="0.25">
      <c r="AA352" s="63" t="s">
        <v>755</v>
      </c>
      <c r="AB352" s="150" t="s">
        <v>882</v>
      </c>
      <c r="AC352" s="410"/>
      <c r="AD352" s="311"/>
      <c r="AE352" s="63"/>
      <c r="AF352" s="63"/>
      <c r="AG352" s="63"/>
      <c r="AH352" s="63"/>
      <c r="AI352" s="55"/>
      <c r="AJ352" s="55"/>
      <c r="AK352" s="55"/>
      <c r="BA352" s="1" t="s">
        <v>845</v>
      </c>
      <c r="BB352" s="1" t="s">
        <v>1111</v>
      </c>
    </row>
    <row r="353" spans="27:60" x14ac:dyDescent="0.25">
      <c r="AA353" s="63"/>
      <c r="AB353" s="63"/>
      <c r="AC353" s="311"/>
      <c r="AD353" s="311"/>
      <c r="AE353" s="63"/>
      <c r="AF353" s="63"/>
      <c r="AG353" s="63"/>
      <c r="AH353" s="63"/>
      <c r="AI353" s="55"/>
      <c r="AJ353" s="55"/>
      <c r="AK353" s="55"/>
    </row>
    <row r="354" spans="27:60" x14ac:dyDescent="0.25">
      <c r="AA354" s="63" t="s">
        <v>1063</v>
      </c>
      <c r="AB354" s="63"/>
      <c r="AC354" s="63"/>
      <c r="AD354" s="311"/>
      <c r="AE354" s="63"/>
      <c r="AF354" s="63"/>
      <c r="AG354" s="63"/>
      <c r="AH354" s="63"/>
      <c r="AI354" s="55"/>
      <c r="AJ354" s="55"/>
      <c r="AK354" s="55"/>
      <c r="BA354" s="1" t="s">
        <v>1197</v>
      </c>
    </row>
    <row r="355" spans="27:60" x14ac:dyDescent="0.25">
      <c r="AA355" s="63" t="s">
        <v>72</v>
      </c>
      <c r="AB355" s="63"/>
      <c r="AC355" s="428"/>
      <c r="AD355" s="311"/>
      <c r="AE355" s="63"/>
      <c r="AF355" s="63"/>
      <c r="AG355" s="63"/>
      <c r="AH355" s="63"/>
      <c r="AI355" s="55"/>
      <c r="AJ355" s="55"/>
      <c r="AK355" s="55"/>
      <c r="BA355" s="1" t="s">
        <v>933</v>
      </c>
    </row>
    <row r="356" spans="27:60" x14ac:dyDescent="0.25">
      <c r="AA356" s="311"/>
      <c r="AB356" s="150"/>
      <c r="AC356" s="410"/>
      <c r="AD356" s="311"/>
      <c r="AE356" s="63"/>
      <c r="AF356" s="63"/>
      <c r="AG356" s="63" t="s">
        <v>854</v>
      </c>
      <c r="AH356" s="63" t="s">
        <v>882</v>
      </c>
      <c r="AI356" s="55"/>
      <c r="AJ356" s="55"/>
      <c r="AK356" s="55"/>
      <c r="BG356" s="1" t="s">
        <v>296</v>
      </c>
      <c r="BH356" s="1" t="s">
        <v>1111</v>
      </c>
    </row>
    <row r="357" spans="27:60" x14ac:dyDescent="0.25">
      <c r="AA357" s="311"/>
      <c r="AB357" s="63"/>
      <c r="AC357" s="443"/>
      <c r="AD357" s="442"/>
      <c r="AE357" s="63"/>
      <c r="AF357" s="63"/>
      <c r="AG357" s="63" t="s">
        <v>958</v>
      </c>
      <c r="AH357" s="63"/>
      <c r="AI357" s="55"/>
      <c r="AJ357" s="55"/>
      <c r="AK357" s="55"/>
      <c r="BG357" s="1" t="s">
        <v>297</v>
      </c>
    </row>
    <row r="358" spans="27:60" x14ac:dyDescent="0.25">
      <c r="AA358" s="311"/>
      <c r="AB358" s="150"/>
      <c r="AC358" s="438"/>
      <c r="AD358" s="442" t="s">
        <v>934</v>
      </c>
      <c r="AE358" s="63"/>
      <c r="AF358" s="444"/>
      <c r="AG358" s="63" t="s">
        <v>1065</v>
      </c>
      <c r="AH358" s="63" t="s">
        <v>852</v>
      </c>
      <c r="AI358" s="55"/>
      <c r="AJ358" s="55"/>
      <c r="AK358" s="55"/>
      <c r="BD358" s="1" t="s">
        <v>71</v>
      </c>
      <c r="BG358" s="1" t="s">
        <v>298</v>
      </c>
      <c r="BH358" s="1" t="s">
        <v>294</v>
      </c>
    </row>
    <row r="359" spans="27:60" x14ac:dyDescent="0.25">
      <c r="AA359" s="311"/>
      <c r="AB359" s="150"/>
      <c r="AC359" s="438"/>
      <c r="AD359" s="311"/>
      <c r="AE359" s="63"/>
      <c r="AF359" s="444"/>
      <c r="AG359" s="63" t="s">
        <v>1066</v>
      </c>
      <c r="AH359" s="63" t="s">
        <v>852</v>
      </c>
      <c r="AI359" s="55"/>
      <c r="AJ359" s="55"/>
      <c r="AK359" s="55"/>
      <c r="BG359" s="1" t="s">
        <v>299</v>
      </c>
      <c r="BH359" s="1" t="s">
        <v>294</v>
      </c>
    </row>
    <row r="360" spans="27:60" x14ac:dyDescent="0.25">
      <c r="AA360" s="311"/>
      <c r="AB360" s="150"/>
      <c r="AC360" s="410"/>
      <c r="AD360" s="311"/>
      <c r="AE360" s="63"/>
      <c r="AF360" s="63"/>
      <c r="AG360" s="63" t="s">
        <v>569</v>
      </c>
      <c r="AH360" s="63" t="s">
        <v>882</v>
      </c>
      <c r="AI360" s="55"/>
      <c r="AJ360" s="55"/>
      <c r="AK360" s="55"/>
      <c r="BG360" s="1" t="s">
        <v>832</v>
      </c>
      <c r="BH360" s="1" t="s">
        <v>1111</v>
      </c>
    </row>
    <row r="361" spans="27:60" x14ac:dyDescent="0.25">
      <c r="AA361" s="63"/>
      <c r="AB361" s="63"/>
      <c r="AC361" s="63"/>
      <c r="AD361" s="311"/>
      <c r="AE361" s="63"/>
      <c r="AF361" s="63"/>
      <c r="AG361" s="63"/>
      <c r="AH361" s="63"/>
      <c r="AI361" s="55"/>
      <c r="AJ361" s="55"/>
      <c r="AK361" s="55"/>
    </row>
    <row r="362" spans="27:60" x14ac:dyDescent="0.25">
      <c r="AA362" s="63" t="s">
        <v>1067</v>
      </c>
      <c r="AB362" s="63"/>
      <c r="AC362" s="63"/>
      <c r="AD362" s="311"/>
      <c r="AE362" s="63"/>
      <c r="AF362" s="63"/>
      <c r="AG362" s="63"/>
      <c r="AH362" s="63"/>
      <c r="AI362" s="55"/>
      <c r="AJ362" s="55"/>
      <c r="AK362" s="55"/>
      <c r="BA362" s="1" t="s">
        <v>300</v>
      </c>
    </row>
    <row r="363" spans="27:60" x14ac:dyDescent="0.25">
      <c r="AA363" s="63" t="s">
        <v>857</v>
      </c>
      <c r="AB363" s="150" t="s">
        <v>858</v>
      </c>
      <c r="AC363" s="432"/>
      <c r="AD363" s="311"/>
      <c r="AE363" s="63"/>
      <c r="AF363" s="63"/>
      <c r="AG363" s="63"/>
      <c r="AH363" s="63"/>
      <c r="AI363" s="55"/>
      <c r="AJ363" s="55"/>
      <c r="AK363" s="55"/>
      <c r="BA363" s="1" t="s">
        <v>301</v>
      </c>
      <c r="BB363" s="1" t="s">
        <v>833</v>
      </c>
    </row>
    <row r="364" spans="27:60" x14ac:dyDescent="0.25">
      <c r="AA364" s="63" t="s">
        <v>971</v>
      </c>
      <c r="AB364" s="63"/>
      <c r="AC364" s="63"/>
      <c r="AD364" s="63"/>
      <c r="AE364" s="63"/>
      <c r="AF364" s="63"/>
      <c r="AG364" s="63"/>
      <c r="AH364" s="63"/>
      <c r="AI364" s="55"/>
      <c r="AJ364" s="55"/>
      <c r="AK364" s="55"/>
      <c r="BA364" s="1" t="s">
        <v>834</v>
      </c>
    </row>
    <row r="365" spans="27:60" x14ac:dyDescent="0.25">
      <c r="AA365" s="8"/>
      <c r="AB365" s="8"/>
      <c r="AC365" s="8"/>
      <c r="AD365" s="8"/>
      <c r="AE365" s="8"/>
      <c r="AF365" s="8"/>
      <c r="AG365" s="8"/>
      <c r="AH365" s="8"/>
    </row>
    <row r="366" spans="27:60" x14ac:dyDescent="0.25">
      <c r="AA366" s="8"/>
      <c r="AB366" s="8"/>
      <c r="AC366" s="8"/>
      <c r="AD366" s="8"/>
      <c r="AE366" s="8"/>
      <c r="AF366" s="8"/>
      <c r="AG366" s="8"/>
      <c r="AH366" s="8"/>
    </row>
    <row r="367" spans="27:60" x14ac:dyDescent="0.25">
      <c r="AA367" s="63"/>
      <c r="AB367" s="63"/>
      <c r="AC367" s="63"/>
      <c r="AD367" s="63"/>
      <c r="AE367" s="63"/>
      <c r="AF367" s="63"/>
      <c r="AG367" s="63"/>
      <c r="AH367" s="63"/>
      <c r="AI367" s="55"/>
      <c r="AJ367" s="55"/>
      <c r="AK367" s="55"/>
    </row>
    <row r="368" spans="27:60" x14ac:dyDescent="0.25">
      <c r="AA368" s="8"/>
      <c r="AB368" s="8"/>
      <c r="AC368" s="8"/>
      <c r="AD368" s="8"/>
      <c r="AE368" s="8"/>
      <c r="AF368" s="8"/>
      <c r="AG368" s="8"/>
      <c r="AH368" s="8"/>
    </row>
    <row r="369" spans="26:61" x14ac:dyDescent="0.25">
      <c r="AA369" s="415" t="s">
        <v>1056</v>
      </c>
      <c r="AB369" s="415">
        <f>ROW()</f>
        <v>369</v>
      </c>
      <c r="AC369" s="415"/>
      <c r="AD369" s="415"/>
      <c r="AE369" s="415"/>
      <c r="AF369" s="415"/>
      <c r="AG369" s="415"/>
      <c r="AH369" s="415"/>
      <c r="AI369" s="415"/>
    </row>
    <row r="370" spans="26:61" x14ac:dyDescent="0.25">
      <c r="AA370" s="424" t="s">
        <v>927</v>
      </c>
      <c r="AB370" s="422"/>
      <c r="AC370" s="58"/>
      <c r="AD370" s="423"/>
      <c r="AE370" s="58"/>
      <c r="AF370" s="58"/>
      <c r="AG370" s="58"/>
      <c r="AH370" s="423" t="s">
        <v>1057</v>
      </c>
      <c r="AI370" s="415"/>
      <c r="BA370" s="568" t="s">
        <v>120</v>
      </c>
      <c r="BB370" s="569"/>
      <c r="BC370" s="570"/>
      <c r="BD370" s="571"/>
      <c r="BE370" s="570"/>
      <c r="BF370" s="570"/>
      <c r="BG370" s="570"/>
      <c r="BH370" s="571" t="s">
        <v>1185</v>
      </c>
      <c r="BI370" s="445"/>
    </row>
    <row r="371" spans="26:61" x14ac:dyDescent="0.25">
      <c r="AA371" s="87" t="s">
        <v>901</v>
      </c>
      <c r="AB371" s="87"/>
      <c r="AC371" s="87"/>
      <c r="AD371" s="87"/>
      <c r="AE371" s="87"/>
      <c r="AF371" s="87"/>
      <c r="AG371" s="87"/>
      <c r="AH371" s="87"/>
      <c r="AI371" s="87"/>
      <c r="AJ371" s="96"/>
      <c r="AK371" s="96"/>
      <c r="AL371" s="96"/>
      <c r="AM371" s="96"/>
      <c r="AN371" s="96"/>
      <c r="AO371" s="96"/>
      <c r="AP371" s="96"/>
      <c r="AQ371" s="96"/>
      <c r="AR371" s="96"/>
      <c r="BA371" s="1" t="s">
        <v>1198</v>
      </c>
    </row>
    <row r="372" spans="26:61" x14ac:dyDescent="0.25">
      <c r="AA372" s="87"/>
      <c r="AB372" s="87"/>
      <c r="AC372" s="87"/>
      <c r="AD372" s="87"/>
      <c r="AE372" s="87"/>
      <c r="AF372" s="87"/>
      <c r="AG372" s="87"/>
      <c r="AH372" s="87"/>
      <c r="AI372" s="87"/>
      <c r="AJ372" s="96"/>
      <c r="AK372" s="96"/>
      <c r="AL372" s="96"/>
      <c r="AM372" s="96"/>
      <c r="AN372" s="96"/>
      <c r="AO372" s="96"/>
      <c r="AP372" s="96"/>
      <c r="AQ372" s="96"/>
      <c r="AR372" s="96"/>
    </row>
    <row r="373" spans="26:61" x14ac:dyDescent="0.25">
      <c r="AA373" s="87"/>
      <c r="AB373" s="87"/>
      <c r="AC373" s="87"/>
      <c r="AD373" s="87"/>
      <c r="AE373" s="87"/>
      <c r="AF373" s="87"/>
      <c r="AG373" s="87"/>
      <c r="AH373" s="87"/>
      <c r="AI373" s="87"/>
      <c r="AJ373" s="96"/>
      <c r="AK373" s="96"/>
      <c r="AL373" s="96"/>
      <c r="AM373" s="96"/>
      <c r="AN373" s="96"/>
      <c r="AO373" s="96"/>
      <c r="AP373" s="96"/>
      <c r="AQ373" s="96"/>
      <c r="AR373" s="96"/>
    </row>
    <row r="374" spans="26:61" x14ac:dyDescent="0.25">
      <c r="AA374" s="87"/>
      <c r="AB374" s="87" t="s">
        <v>742</v>
      </c>
      <c r="AC374" s="87"/>
      <c r="AD374" s="87"/>
      <c r="AE374" s="87"/>
      <c r="AF374" s="87"/>
      <c r="AG374" s="87" t="s">
        <v>744</v>
      </c>
      <c r="AH374" s="87"/>
      <c r="AI374" s="87"/>
      <c r="AJ374" s="96"/>
      <c r="AK374" s="96"/>
      <c r="AL374" s="96"/>
      <c r="AM374" s="96"/>
      <c r="AN374" s="96"/>
      <c r="AO374" s="96"/>
      <c r="AP374" s="96"/>
      <c r="AQ374" s="96"/>
      <c r="AR374" s="96"/>
      <c r="BB374" s="1" t="s">
        <v>1169</v>
      </c>
      <c r="BG374" s="1" t="s">
        <v>1170</v>
      </c>
    </row>
    <row r="375" spans="26:61" x14ac:dyDescent="0.25">
      <c r="AA375" s="87"/>
      <c r="AB375" s="87" t="s">
        <v>102</v>
      </c>
      <c r="AC375" s="87"/>
      <c r="AD375" s="87"/>
      <c r="AE375" s="87"/>
      <c r="AF375" s="87"/>
      <c r="AG375" s="87" t="s">
        <v>745</v>
      </c>
      <c r="AH375" s="87"/>
      <c r="AI375" s="87"/>
      <c r="AJ375" s="96"/>
      <c r="AK375" s="96"/>
      <c r="AL375" s="96"/>
      <c r="AM375" s="96"/>
      <c r="AN375" s="96"/>
      <c r="AO375" s="96"/>
      <c r="AP375" s="96"/>
      <c r="AQ375" s="96"/>
      <c r="AR375" s="96"/>
      <c r="BB375" s="1" t="s">
        <v>645</v>
      </c>
      <c r="BG375" s="1" t="s">
        <v>646</v>
      </c>
    </row>
    <row r="376" spans="26:61" x14ac:dyDescent="0.25">
      <c r="AA376" s="87"/>
      <c r="AB376" s="87" t="s">
        <v>743</v>
      </c>
      <c r="AC376" s="87"/>
      <c r="AD376" s="87"/>
      <c r="AE376" s="87"/>
      <c r="AF376" s="87"/>
      <c r="AG376" s="87" t="s">
        <v>106</v>
      </c>
      <c r="AH376" s="87"/>
      <c r="AI376" s="87"/>
      <c r="AJ376" s="96"/>
      <c r="AK376" s="96"/>
      <c r="AL376" s="96"/>
      <c r="AM376" s="96"/>
      <c r="AN376" s="96"/>
      <c r="AO376" s="96"/>
      <c r="AP376" s="96"/>
      <c r="AQ376" s="96"/>
      <c r="AR376" s="96"/>
      <c r="BB376" s="1" t="s">
        <v>647</v>
      </c>
      <c r="BG376" s="1" t="s">
        <v>648</v>
      </c>
    </row>
    <row r="377" spans="26:61" x14ac:dyDescent="0.25">
      <c r="Z377" s="96"/>
      <c r="AA377" s="87"/>
      <c r="AB377" s="87"/>
      <c r="AC377" s="87"/>
      <c r="AD377" s="87"/>
      <c r="AE377" s="87"/>
      <c r="AF377" s="87"/>
      <c r="AG377" s="87"/>
      <c r="AH377" s="87"/>
      <c r="AI377" s="87"/>
      <c r="AJ377" s="96"/>
      <c r="AK377" s="96"/>
      <c r="AL377" s="96"/>
      <c r="AM377" s="96"/>
      <c r="AN377" s="96"/>
      <c r="AO377" s="96"/>
      <c r="AP377" s="96"/>
      <c r="AQ377" s="96"/>
      <c r="AR377" s="96"/>
    </row>
    <row r="378" spans="26:61" x14ac:dyDescent="0.25">
      <c r="Z378" s="96"/>
      <c r="AA378" s="87"/>
      <c r="AB378" s="87"/>
      <c r="AC378" s="87"/>
      <c r="AD378" s="87"/>
      <c r="AE378" s="87"/>
      <c r="AF378" s="87"/>
      <c r="AG378" s="87"/>
      <c r="AH378" s="87"/>
      <c r="AI378" s="87"/>
      <c r="AJ378" s="96"/>
      <c r="AK378" s="96"/>
      <c r="AL378" s="96"/>
      <c r="AM378" s="96"/>
      <c r="AN378" s="96"/>
      <c r="AO378" s="96"/>
      <c r="AP378" s="96"/>
      <c r="AQ378" s="96"/>
      <c r="AR378" s="96"/>
    </row>
    <row r="379" spans="26:61" x14ac:dyDescent="0.25">
      <c r="Z379" s="96"/>
      <c r="AA379" s="87"/>
      <c r="AB379" s="87"/>
      <c r="AC379" s="87"/>
      <c r="AD379" s="87"/>
      <c r="AE379" s="87"/>
      <c r="AF379" s="87"/>
      <c r="AG379" s="87"/>
      <c r="AH379" s="87"/>
      <c r="AI379" s="87"/>
      <c r="AJ379" s="96"/>
      <c r="AK379" s="96"/>
      <c r="AL379" s="96"/>
      <c r="AM379" s="96"/>
      <c r="AN379" s="96"/>
      <c r="AO379" s="96"/>
      <c r="AP379" s="96"/>
      <c r="AQ379" s="96"/>
      <c r="AR379" s="96"/>
    </row>
    <row r="380" spans="26:61" x14ac:dyDescent="0.25">
      <c r="Z380" s="96"/>
      <c r="AA380" s="87" t="s">
        <v>747</v>
      </c>
      <c r="AB380" s="87"/>
      <c r="AC380" s="87"/>
      <c r="AD380" s="87"/>
      <c r="AE380" s="87"/>
      <c r="AF380" s="87"/>
      <c r="AG380" s="87"/>
      <c r="AH380" s="87"/>
      <c r="AI380" s="87"/>
      <c r="AJ380" s="96"/>
      <c r="AK380" s="96"/>
      <c r="AL380" s="96"/>
      <c r="AM380" s="96"/>
      <c r="AN380" s="96"/>
      <c r="AO380" s="96"/>
      <c r="AP380" s="96"/>
      <c r="AQ380" s="96"/>
      <c r="AR380" s="96"/>
      <c r="BA380" s="1" t="s">
        <v>649</v>
      </c>
    </row>
    <row r="381" spans="26:61" x14ac:dyDescent="0.25">
      <c r="Z381" s="96"/>
      <c r="AA381" s="87" t="s">
        <v>849</v>
      </c>
      <c r="AB381" s="87" t="s">
        <v>848</v>
      </c>
      <c r="AC381" s="87"/>
      <c r="AD381" s="87"/>
      <c r="AE381" s="87"/>
      <c r="AF381" s="87"/>
      <c r="AG381" s="87"/>
      <c r="AH381" s="87"/>
      <c r="AI381" s="87"/>
      <c r="AJ381" s="96"/>
      <c r="AK381" s="96"/>
      <c r="AL381" s="96"/>
      <c r="AM381" s="96"/>
      <c r="AN381" s="96"/>
      <c r="AO381" s="96"/>
      <c r="AP381" s="96"/>
      <c r="AQ381" s="96"/>
      <c r="AR381" s="96"/>
      <c r="BA381" s="1" t="s">
        <v>1199</v>
      </c>
      <c r="BB381" s="1" t="s">
        <v>721</v>
      </c>
    </row>
    <row r="382" spans="26:61" x14ac:dyDescent="0.25">
      <c r="Z382" s="96"/>
      <c r="AA382" s="477"/>
      <c r="AB382" s="96" t="s">
        <v>0</v>
      </c>
      <c r="AC382" s="96"/>
      <c r="AD382" s="96"/>
      <c r="AE382" s="96"/>
      <c r="AF382" s="96"/>
      <c r="AG382" s="96"/>
      <c r="AH382" s="96"/>
      <c r="AI382" s="96"/>
      <c r="AJ382" s="96"/>
      <c r="AK382" s="96"/>
      <c r="AL382" s="96"/>
      <c r="AM382" s="96"/>
      <c r="AN382" s="96"/>
      <c r="AO382" s="96"/>
      <c r="AP382" s="96"/>
      <c r="AQ382" s="96"/>
      <c r="AR382" s="96"/>
      <c r="BB382" s="1" t="s">
        <v>1200</v>
      </c>
    </row>
    <row r="383" spans="26:61" x14ac:dyDescent="0.25">
      <c r="Z383" s="96"/>
      <c r="AA383" s="477"/>
      <c r="AB383" s="96" t="s">
        <v>102</v>
      </c>
      <c r="AC383" s="96"/>
      <c r="AD383" s="96"/>
      <c r="AE383" s="96"/>
      <c r="AF383" s="96"/>
      <c r="AG383" s="96"/>
      <c r="AH383" s="96"/>
      <c r="AI383" s="96"/>
      <c r="AJ383" s="96"/>
      <c r="AK383" s="96"/>
      <c r="AL383" s="96"/>
      <c r="AM383" s="96"/>
      <c r="AN383" s="96"/>
      <c r="AO383" s="96"/>
      <c r="AP383" s="96"/>
      <c r="AQ383" s="96"/>
      <c r="AR383" s="96"/>
      <c r="BB383" s="1" t="s">
        <v>650</v>
      </c>
    </row>
    <row r="384" spans="26:61" x14ac:dyDescent="0.25">
      <c r="Z384" s="96"/>
      <c r="AA384" s="477"/>
      <c r="AB384" s="96" t="s">
        <v>1</v>
      </c>
      <c r="AC384" s="96"/>
      <c r="AD384" s="96"/>
      <c r="AE384" s="96"/>
      <c r="AF384" s="96"/>
      <c r="AG384" s="96"/>
      <c r="AH384" s="96"/>
      <c r="AI384" s="96"/>
      <c r="AJ384" s="96"/>
      <c r="AK384" s="96"/>
      <c r="AL384" s="96"/>
      <c r="AM384" s="96"/>
      <c r="AN384" s="96"/>
      <c r="AO384" s="96"/>
      <c r="AP384" s="96"/>
      <c r="AQ384" s="96"/>
      <c r="AR384" s="96"/>
      <c r="BB384" s="1" t="s">
        <v>1201</v>
      </c>
    </row>
    <row r="385" spans="26:61" x14ac:dyDescent="0.25">
      <c r="Z385" s="96"/>
      <c r="AA385" s="477"/>
      <c r="AB385" s="96" t="s">
        <v>570</v>
      </c>
      <c r="AC385" s="96"/>
      <c r="AD385" s="96"/>
      <c r="AE385" s="96"/>
      <c r="AF385" s="96"/>
      <c r="AG385" s="96"/>
      <c r="AH385" s="96"/>
      <c r="AI385" s="96"/>
      <c r="AJ385" s="96"/>
      <c r="AK385" s="96"/>
      <c r="AL385" s="96"/>
      <c r="AM385" s="96"/>
      <c r="AN385" s="96"/>
      <c r="AO385" s="96"/>
      <c r="AP385" s="96"/>
      <c r="AQ385" s="96"/>
      <c r="AR385" s="96"/>
      <c r="BB385" s="1" t="s">
        <v>1202</v>
      </c>
    </row>
    <row r="386" spans="26:61" x14ac:dyDescent="0.25">
      <c r="Z386" s="96"/>
      <c r="AA386" s="477"/>
      <c r="AB386" s="96" t="s">
        <v>2</v>
      </c>
      <c r="AC386" s="96"/>
      <c r="AD386" s="96"/>
      <c r="AE386" s="96"/>
      <c r="AF386" s="96"/>
      <c r="AG386" s="96"/>
      <c r="AH386" s="96"/>
      <c r="AI386" s="96"/>
      <c r="AJ386" s="96"/>
      <c r="AK386" s="96"/>
      <c r="AL386" s="96"/>
      <c r="AM386" s="96"/>
      <c r="AN386" s="96"/>
      <c r="AO386" s="96"/>
      <c r="AP386" s="96"/>
      <c r="AQ386" s="96"/>
      <c r="AR386" s="96"/>
      <c r="BB386" s="1" t="s">
        <v>1203</v>
      </c>
    </row>
    <row r="387" spans="26:61" x14ac:dyDescent="0.25">
      <c r="Z387" s="96"/>
      <c r="AA387" s="477"/>
      <c r="AB387" s="96" t="s">
        <v>3</v>
      </c>
      <c r="AC387" s="96"/>
      <c r="AD387" s="96"/>
      <c r="AE387" s="96"/>
      <c r="AF387" s="96"/>
      <c r="AG387" s="96"/>
      <c r="AH387" s="96"/>
      <c r="AI387" s="96"/>
      <c r="AJ387" s="96"/>
      <c r="AK387" s="96"/>
      <c r="AL387" s="96"/>
      <c r="AM387" s="96"/>
      <c r="AN387" s="96"/>
      <c r="AO387" s="96"/>
      <c r="AP387" s="96"/>
      <c r="AQ387" s="96"/>
      <c r="AR387" s="96"/>
      <c r="BB387" s="1" t="s">
        <v>1204</v>
      </c>
    </row>
    <row r="388" spans="26:61" x14ac:dyDescent="0.25">
      <c r="Z388" s="96"/>
      <c r="AA388" s="87" t="s">
        <v>22</v>
      </c>
      <c r="AB388" s="87"/>
      <c r="AC388" s="87"/>
      <c r="AD388" s="87"/>
      <c r="AE388" s="87"/>
      <c r="AF388" s="87"/>
      <c r="AG388" s="87"/>
      <c r="AH388" s="87"/>
      <c r="AI388" s="87"/>
      <c r="AJ388" s="96"/>
      <c r="AK388" s="96"/>
      <c r="AL388" s="96"/>
      <c r="AM388" s="96"/>
      <c r="AN388" s="96"/>
      <c r="AO388" s="96"/>
      <c r="AP388" s="96"/>
      <c r="AQ388" s="96"/>
      <c r="AR388" s="96"/>
      <c r="BA388" s="1" t="s">
        <v>651</v>
      </c>
    </row>
    <row r="389" spans="26:61" x14ac:dyDescent="0.25">
      <c r="Z389" s="96"/>
      <c r="AA389" s="87" t="s">
        <v>779</v>
      </c>
      <c r="AB389" s="87"/>
      <c r="AC389" s="87"/>
      <c r="AD389" s="87"/>
      <c r="AE389" s="87"/>
      <c r="AF389" s="87"/>
      <c r="AG389" s="87"/>
      <c r="AH389" s="87"/>
      <c r="AI389" s="369" t="s">
        <v>1155</v>
      </c>
      <c r="AJ389" s="96"/>
      <c r="AK389" s="96"/>
      <c r="AL389" s="96"/>
      <c r="AM389" s="96"/>
      <c r="AN389" s="96"/>
      <c r="AO389" s="96"/>
      <c r="AP389" s="96"/>
      <c r="AQ389" s="96"/>
      <c r="AR389" s="96"/>
      <c r="BA389" s="1" t="s">
        <v>652</v>
      </c>
      <c r="BI389" s="1" t="s">
        <v>653</v>
      </c>
    </row>
    <row r="390" spans="26:61" x14ac:dyDescent="0.25">
      <c r="Z390" s="96"/>
      <c r="AA390" s="87"/>
      <c r="AB390" s="87"/>
      <c r="AC390" s="87"/>
      <c r="AD390" s="87"/>
      <c r="AE390" s="87"/>
      <c r="AF390" s="87"/>
      <c r="AG390" s="87"/>
      <c r="AH390" s="87"/>
      <c r="AI390" s="369"/>
      <c r="AJ390" s="96"/>
      <c r="AK390" s="96"/>
      <c r="AL390" s="96"/>
      <c r="AM390" s="96"/>
      <c r="AN390" s="96"/>
      <c r="AO390" s="96"/>
      <c r="AP390" s="96"/>
      <c r="AQ390" s="96"/>
      <c r="AR390" s="96"/>
    </row>
    <row r="391" spans="26:61" x14ac:dyDescent="0.25">
      <c r="Z391" s="96"/>
      <c r="AA391" s="87" t="s">
        <v>374</v>
      </c>
      <c r="AB391" s="87"/>
      <c r="AC391" s="87"/>
      <c r="AD391" s="87"/>
      <c r="AE391" s="87"/>
      <c r="AF391" s="87"/>
      <c r="AG391" s="87"/>
      <c r="AH391" s="87"/>
      <c r="AI391" s="87"/>
      <c r="AJ391" s="96"/>
      <c r="AK391" s="96"/>
      <c r="AL391" s="96"/>
      <c r="AM391" s="96"/>
      <c r="AN391" s="96"/>
      <c r="AO391" s="96"/>
      <c r="AP391" s="96"/>
      <c r="AQ391" s="96"/>
      <c r="AR391" s="96"/>
      <c r="BA391" s="1" t="s">
        <v>654</v>
      </c>
    </row>
    <row r="392" spans="26:61" x14ac:dyDescent="0.25">
      <c r="Z392" s="96"/>
      <c r="AA392" s="87" t="s">
        <v>564</v>
      </c>
      <c r="AB392" s="87"/>
      <c r="AC392" s="87"/>
      <c r="AD392" s="87"/>
      <c r="AE392" s="87" t="s">
        <v>1190</v>
      </c>
      <c r="AF392" s="87"/>
      <c r="AG392" s="87"/>
      <c r="AH392" s="87"/>
      <c r="AI392" s="478"/>
      <c r="AJ392" s="96"/>
      <c r="AK392" s="96"/>
      <c r="AL392" s="96"/>
      <c r="AM392" s="96"/>
      <c r="AN392" s="96"/>
      <c r="AO392" s="96"/>
      <c r="AP392" s="96"/>
      <c r="AQ392" s="96"/>
      <c r="AR392" s="96"/>
      <c r="BA392" s="1" t="s">
        <v>1205</v>
      </c>
      <c r="BE392" s="1" t="s">
        <v>1191</v>
      </c>
    </row>
    <row r="393" spans="26:61" x14ac:dyDescent="0.25">
      <c r="Z393" s="96"/>
      <c r="AA393" s="87"/>
      <c r="AB393" s="87"/>
      <c r="AC393" s="87"/>
      <c r="AD393" s="87"/>
      <c r="AE393" s="87"/>
      <c r="AF393" s="87"/>
      <c r="AG393" s="87"/>
      <c r="AH393" s="87"/>
      <c r="AI393" s="87"/>
      <c r="AJ393" s="96"/>
      <c r="AK393" s="96"/>
      <c r="AL393" s="96"/>
      <c r="AM393" s="96"/>
      <c r="AN393" s="96"/>
      <c r="AO393" s="96"/>
      <c r="AP393" s="96"/>
      <c r="AQ393" s="96"/>
      <c r="AR393" s="96"/>
    </row>
    <row r="394" spans="26:61" x14ac:dyDescent="0.25">
      <c r="Z394" s="96"/>
      <c r="AA394" s="87" t="s">
        <v>366</v>
      </c>
      <c r="AB394" s="87"/>
      <c r="AC394" s="87"/>
      <c r="AD394" s="87"/>
      <c r="AE394" s="87" t="s">
        <v>484</v>
      </c>
      <c r="AF394" s="87"/>
      <c r="AG394" s="87"/>
      <c r="AH394" s="87"/>
      <c r="AI394" s="87" t="s">
        <v>875</v>
      </c>
      <c r="AJ394" s="96"/>
      <c r="AK394" s="96"/>
      <c r="AL394" s="96"/>
      <c r="AM394" s="96"/>
      <c r="AN394" s="96"/>
      <c r="AO394" s="96"/>
      <c r="AP394" s="96"/>
      <c r="AQ394" s="368"/>
      <c r="AR394" s="368"/>
      <c r="BA394" s="1" t="s">
        <v>365</v>
      </c>
      <c r="BE394" s="96" t="s">
        <v>490</v>
      </c>
      <c r="BI394" s="1" t="s">
        <v>1089</v>
      </c>
    </row>
    <row r="395" spans="26:61" x14ac:dyDescent="0.25">
      <c r="Z395" s="96"/>
      <c r="AA395" s="87" t="s">
        <v>1315</v>
      </c>
      <c r="AB395" s="87"/>
      <c r="AC395" s="87"/>
      <c r="AD395" s="87"/>
      <c r="AE395" s="87"/>
      <c r="AF395" s="87"/>
      <c r="AG395" s="87"/>
      <c r="AH395" s="87"/>
      <c r="AI395" s="87"/>
      <c r="AJ395" s="96"/>
      <c r="AK395" s="96"/>
      <c r="AL395" s="96"/>
      <c r="AM395" s="96"/>
      <c r="AN395" s="96"/>
      <c r="AO395" s="96"/>
      <c r="AP395" s="96"/>
      <c r="AQ395" s="368"/>
      <c r="AR395" s="368"/>
      <c r="BA395" s="87" t="s">
        <v>1314</v>
      </c>
    </row>
    <row r="396" spans="26:61" x14ac:dyDescent="0.25">
      <c r="Z396" s="96"/>
      <c r="AA396" s="481" t="s">
        <v>1168</v>
      </c>
      <c r="AB396" s="481"/>
      <c r="AC396" s="481"/>
      <c r="AD396" s="481"/>
      <c r="AE396" s="481" t="s">
        <v>780</v>
      </c>
      <c r="AF396" s="481"/>
      <c r="AG396" s="482"/>
      <c r="AH396" s="482"/>
      <c r="AI396" s="482" t="s">
        <v>24</v>
      </c>
      <c r="AJ396" s="96"/>
      <c r="AK396" s="96"/>
      <c r="AL396" s="96"/>
      <c r="AM396" s="96"/>
      <c r="AN396" s="96"/>
      <c r="AO396" s="96"/>
      <c r="AP396" s="96"/>
      <c r="AQ396" s="368"/>
      <c r="AR396" s="368"/>
      <c r="BA396" s="1" t="s">
        <v>655</v>
      </c>
      <c r="BE396" s="1" t="s">
        <v>656</v>
      </c>
      <c r="BI396" s="1" t="s">
        <v>657</v>
      </c>
    </row>
    <row r="397" spans="26:61" x14ac:dyDescent="0.25">
      <c r="Z397" s="96"/>
      <c r="AA397" s="87" t="s">
        <v>781</v>
      </c>
      <c r="AB397" s="87"/>
      <c r="AC397" s="87"/>
      <c r="AD397" s="87"/>
      <c r="AE397" s="87" t="s">
        <v>605</v>
      </c>
      <c r="AF397" s="87"/>
      <c r="AG397" s="87"/>
      <c r="AH397" s="87"/>
      <c r="AI397" s="87"/>
      <c r="AJ397" s="96"/>
      <c r="AK397" s="96"/>
      <c r="AL397" s="96"/>
      <c r="AM397" s="96"/>
      <c r="AN397" s="96"/>
      <c r="AO397" s="96"/>
      <c r="AP397" s="96"/>
      <c r="AQ397" s="368"/>
      <c r="AR397" s="368"/>
      <c r="BA397" s="1" t="s">
        <v>658</v>
      </c>
      <c r="BE397" s="1" t="s">
        <v>659</v>
      </c>
    </row>
    <row r="398" spans="26:61" x14ac:dyDescent="0.25">
      <c r="Z398" s="96"/>
      <c r="AA398" s="87" t="s">
        <v>782</v>
      </c>
      <c r="AB398" s="87"/>
      <c r="AC398" s="87"/>
      <c r="AD398" s="87"/>
      <c r="AE398" s="87" t="s">
        <v>605</v>
      </c>
      <c r="AF398" s="87"/>
      <c r="AG398" s="87"/>
      <c r="AH398" s="87"/>
      <c r="AI398" s="87"/>
      <c r="AJ398" s="96"/>
      <c r="AK398" s="96"/>
      <c r="AL398" s="96"/>
      <c r="AM398" s="96"/>
      <c r="AN398" s="96"/>
      <c r="AO398" s="96"/>
      <c r="AP398" s="96"/>
      <c r="AQ398" s="368"/>
      <c r="AR398" s="368"/>
      <c r="BA398" s="1" t="s">
        <v>660</v>
      </c>
      <c r="BE398" s="1" t="s">
        <v>659</v>
      </c>
    </row>
    <row r="399" spans="26:61" x14ac:dyDescent="0.25">
      <c r="Z399" s="96"/>
      <c r="AA399" s="87" t="s">
        <v>783</v>
      </c>
      <c r="AB399" s="87"/>
      <c r="AC399" s="87"/>
      <c r="AD399" s="87"/>
      <c r="AE399" s="87" t="s">
        <v>735</v>
      </c>
      <c r="AF399" s="87"/>
      <c r="AG399" s="87"/>
      <c r="AH399" s="87"/>
      <c r="AI399" s="87"/>
      <c r="AJ399" s="96"/>
      <c r="AK399" s="96"/>
      <c r="AL399" s="96"/>
      <c r="AM399" s="96"/>
      <c r="AN399" s="96"/>
      <c r="AO399" s="96"/>
      <c r="AP399" s="96"/>
      <c r="AQ399" s="368"/>
      <c r="AR399" s="368"/>
      <c r="BA399" s="1" t="s">
        <v>661</v>
      </c>
      <c r="BE399" s="1" t="s">
        <v>722</v>
      </c>
    </row>
    <row r="400" spans="26:61" x14ac:dyDescent="0.25">
      <c r="Z400" s="96"/>
      <c r="AA400" s="87" t="s">
        <v>785</v>
      </c>
      <c r="AB400" s="87"/>
      <c r="AC400" s="87"/>
      <c r="AD400" s="87"/>
      <c r="AE400" s="87" t="s">
        <v>846</v>
      </c>
      <c r="AF400" s="87"/>
      <c r="AG400" s="87"/>
      <c r="AH400" s="87"/>
      <c r="AI400" s="379"/>
      <c r="AJ400" s="96"/>
      <c r="AK400" s="96"/>
      <c r="AL400" s="96"/>
      <c r="AM400" s="96"/>
      <c r="AN400" s="96"/>
      <c r="AO400" s="96"/>
      <c r="AP400" s="96"/>
      <c r="AQ400" s="368"/>
      <c r="AR400" s="368"/>
      <c r="BA400" s="1" t="s">
        <v>662</v>
      </c>
      <c r="BE400" s="1" t="s">
        <v>723</v>
      </c>
    </row>
    <row r="401" spans="26:61" x14ac:dyDescent="0.25">
      <c r="Z401" s="96"/>
      <c r="AA401" s="63" t="s">
        <v>700</v>
      </c>
      <c r="AB401" s="63"/>
      <c r="AC401" s="63"/>
      <c r="AD401" s="63"/>
      <c r="AE401" s="63" t="s">
        <v>1134</v>
      </c>
      <c r="AF401" s="63" t="s">
        <v>914</v>
      </c>
      <c r="AG401" s="63"/>
      <c r="AH401" s="63"/>
      <c r="AI401" s="435"/>
      <c r="BA401" s="1" t="s">
        <v>1022</v>
      </c>
      <c r="BE401" s="1" t="s">
        <v>1134</v>
      </c>
      <c r="BF401" s="1" t="s">
        <v>400</v>
      </c>
    </row>
    <row r="402" spans="26:61" x14ac:dyDescent="0.25">
      <c r="Z402" s="96"/>
      <c r="AA402" s="63" t="s">
        <v>700</v>
      </c>
      <c r="AB402" s="63"/>
      <c r="AC402" s="63"/>
      <c r="AD402" s="63"/>
      <c r="AE402" s="63" t="s">
        <v>1134</v>
      </c>
      <c r="AF402" s="63" t="s">
        <v>401</v>
      </c>
      <c r="AG402" s="63"/>
      <c r="AH402" s="63"/>
      <c r="AI402" s="435"/>
      <c r="BA402" s="1" t="s">
        <v>1022</v>
      </c>
      <c r="BE402" s="1" t="s">
        <v>1134</v>
      </c>
      <c r="BF402" s="1" t="s">
        <v>402</v>
      </c>
    </row>
    <row r="403" spans="26:61" x14ac:dyDescent="0.25">
      <c r="Z403" s="96"/>
      <c r="AA403" s="87" t="s">
        <v>84</v>
      </c>
      <c r="AB403" s="63"/>
      <c r="AC403" s="63"/>
      <c r="AD403" s="63"/>
      <c r="AE403" s="63" t="s">
        <v>1134</v>
      </c>
      <c r="AF403" s="63" t="s">
        <v>914</v>
      </c>
      <c r="AG403" s="63"/>
      <c r="AH403" s="63"/>
      <c r="AI403" s="435"/>
      <c r="BA403" s="1" t="s">
        <v>1023</v>
      </c>
      <c r="BE403" s="1" t="s">
        <v>1134</v>
      </c>
      <c r="BF403" s="1" t="s">
        <v>400</v>
      </c>
    </row>
    <row r="404" spans="26:61" x14ac:dyDescent="0.25">
      <c r="Z404" s="96"/>
      <c r="AA404" s="87" t="s">
        <v>84</v>
      </c>
      <c r="AB404" s="63"/>
      <c r="AC404" s="63"/>
      <c r="AD404" s="63"/>
      <c r="AE404" s="63" t="s">
        <v>1134</v>
      </c>
      <c r="AF404" s="63" t="s">
        <v>401</v>
      </c>
      <c r="AG404" s="63"/>
      <c r="AH404" s="63"/>
      <c r="AI404" s="435"/>
      <c r="BA404" s="1" t="s">
        <v>1023</v>
      </c>
      <c r="BE404" s="1" t="s">
        <v>1134</v>
      </c>
      <c r="BF404" s="1" t="s">
        <v>402</v>
      </c>
    </row>
    <row r="405" spans="26:61" x14ac:dyDescent="0.25">
      <c r="Z405" s="96"/>
      <c r="AA405" s="87" t="s">
        <v>773</v>
      </c>
      <c r="AB405" s="87"/>
      <c r="AC405" s="87"/>
      <c r="AD405" s="87"/>
      <c r="AE405" s="87" t="s">
        <v>605</v>
      </c>
      <c r="AF405" s="87"/>
      <c r="AG405" s="87" t="s">
        <v>1127</v>
      </c>
      <c r="AH405" s="87"/>
      <c r="AI405" s="87"/>
      <c r="AJ405" s="96"/>
      <c r="AK405" s="96"/>
      <c r="AL405" s="96"/>
      <c r="AM405" s="96"/>
      <c r="AN405" s="96"/>
      <c r="AO405" s="96"/>
      <c r="AP405" s="96"/>
      <c r="AQ405" s="368"/>
      <c r="AR405" s="368"/>
      <c r="BA405" s="1" t="s">
        <v>663</v>
      </c>
      <c r="BE405" s="1" t="s">
        <v>659</v>
      </c>
      <c r="BG405" s="87" t="s">
        <v>1186</v>
      </c>
    </row>
    <row r="406" spans="26:61" x14ac:dyDescent="0.25">
      <c r="Z406" s="96"/>
      <c r="AA406" s="63" t="s">
        <v>951</v>
      </c>
      <c r="AB406" s="87"/>
      <c r="AC406" s="87"/>
      <c r="AD406" s="87"/>
      <c r="AE406" s="150"/>
      <c r="AF406" s="150" t="s">
        <v>952</v>
      </c>
      <c r="AG406" s="87"/>
      <c r="AH406" s="87"/>
      <c r="AI406" s="87"/>
      <c r="AJ406" s="96"/>
      <c r="AK406" s="96"/>
      <c r="AL406" s="96"/>
      <c r="AM406" s="96"/>
      <c r="AN406" s="96"/>
      <c r="AO406" s="96"/>
      <c r="AP406" s="96"/>
      <c r="AQ406" s="368"/>
      <c r="AR406" s="368"/>
      <c r="BA406" s="1" t="s">
        <v>277</v>
      </c>
      <c r="BF406" s="1" t="s">
        <v>273</v>
      </c>
      <c r="BG406" s="87"/>
    </row>
    <row r="407" spans="26:61" x14ac:dyDescent="0.25">
      <c r="Z407" s="96"/>
      <c r="AA407" s="87" t="s">
        <v>766</v>
      </c>
      <c r="AB407" s="87"/>
      <c r="AC407" s="87"/>
      <c r="AD407" s="87"/>
      <c r="AE407" s="87" t="s">
        <v>807</v>
      </c>
      <c r="AF407" s="87"/>
      <c r="AG407" s="87"/>
      <c r="AH407" s="87"/>
      <c r="AI407" s="87"/>
      <c r="AJ407" s="96"/>
      <c r="AK407" s="96"/>
      <c r="AL407" s="96"/>
      <c r="AM407" s="96"/>
      <c r="AN407" s="96"/>
      <c r="AO407" s="96"/>
      <c r="AP407" s="96"/>
      <c r="AQ407" s="368"/>
      <c r="AR407" s="368"/>
      <c r="BA407" s="1" t="s">
        <v>1024</v>
      </c>
      <c r="BE407" s="1" t="s">
        <v>195</v>
      </c>
      <c r="BG407" s="87"/>
    </row>
    <row r="408" spans="26:61" x14ac:dyDescent="0.25">
      <c r="Z408" s="96"/>
      <c r="AA408" s="87" t="s">
        <v>241</v>
      </c>
      <c r="AB408" s="87"/>
      <c r="AC408" s="87"/>
      <c r="AD408" s="87"/>
      <c r="AE408" s="87" t="s">
        <v>1134</v>
      </c>
      <c r="AF408" s="87" t="s">
        <v>305</v>
      </c>
      <c r="AG408" s="87"/>
      <c r="AH408" s="279"/>
      <c r="AI408" s="87"/>
      <c r="AJ408" s="96"/>
      <c r="AK408" s="96"/>
      <c r="AL408" s="96"/>
      <c r="AM408" s="96"/>
      <c r="AN408" s="96"/>
      <c r="AO408" s="96"/>
      <c r="AP408" s="96"/>
      <c r="AQ408" s="368"/>
      <c r="AR408" s="368"/>
      <c r="BA408" s="1" t="s">
        <v>664</v>
      </c>
      <c r="BE408" s="1" t="s">
        <v>1134</v>
      </c>
      <c r="BF408" s="1" t="s">
        <v>306</v>
      </c>
    </row>
    <row r="409" spans="26:61" x14ac:dyDescent="0.25">
      <c r="Z409" s="96"/>
      <c r="AA409" s="87" t="s">
        <v>565</v>
      </c>
      <c r="AB409" s="87"/>
      <c r="AC409" s="87"/>
      <c r="AD409" s="87"/>
      <c r="AE409" s="87"/>
      <c r="AF409" s="87"/>
      <c r="AG409" s="87"/>
      <c r="AH409" s="87"/>
      <c r="AI409" s="87"/>
      <c r="AJ409" s="96"/>
      <c r="AK409" s="96"/>
      <c r="AL409" s="96"/>
      <c r="AM409" s="96"/>
      <c r="AN409" s="96"/>
      <c r="AO409" s="96"/>
      <c r="AP409" s="96"/>
      <c r="AQ409" s="368"/>
      <c r="AR409" s="368"/>
      <c r="BA409" s="1" t="s">
        <v>665</v>
      </c>
    </row>
    <row r="410" spans="26:61" x14ac:dyDescent="0.25">
      <c r="Z410" s="96"/>
      <c r="AA410" s="87" t="s">
        <v>4</v>
      </c>
      <c r="AB410" s="87"/>
      <c r="AC410" s="87"/>
      <c r="AD410" s="87"/>
      <c r="AE410" s="87" t="s">
        <v>1134</v>
      </c>
      <c r="AF410" s="87"/>
      <c r="AG410" s="87"/>
      <c r="AH410" s="279"/>
      <c r="AI410" s="87"/>
      <c r="AJ410" s="96"/>
      <c r="AK410" s="96"/>
      <c r="AL410" s="96"/>
      <c r="AM410" s="96"/>
      <c r="AN410" s="96"/>
      <c r="AO410" s="96"/>
      <c r="AP410" s="96"/>
      <c r="AQ410" s="368"/>
      <c r="AR410" s="368"/>
      <c r="BA410" s="1" t="s">
        <v>666</v>
      </c>
      <c r="BE410" s="1" t="s">
        <v>1134</v>
      </c>
    </row>
    <row r="411" spans="26:61" x14ac:dyDescent="0.25">
      <c r="Z411" s="96"/>
      <c r="AA411" s="87" t="s">
        <v>566</v>
      </c>
      <c r="AB411" s="87"/>
      <c r="AC411" s="87"/>
      <c r="AD411" s="87"/>
      <c r="AE411" s="87"/>
      <c r="AF411" s="87"/>
      <c r="AG411" s="87"/>
      <c r="AH411" s="87"/>
      <c r="AI411" s="87"/>
      <c r="AJ411" s="96"/>
      <c r="AK411" s="96"/>
      <c r="AL411" s="96"/>
      <c r="AM411" s="96"/>
      <c r="AN411" s="96"/>
      <c r="AO411" s="96"/>
      <c r="AP411" s="96"/>
      <c r="AQ411" s="368"/>
      <c r="AR411" s="368"/>
      <c r="BA411" s="1" t="s">
        <v>667</v>
      </c>
    </row>
    <row r="412" spans="26:61" x14ac:dyDescent="0.25">
      <c r="Z412" s="96"/>
      <c r="AA412" s="87" t="s">
        <v>765</v>
      </c>
      <c r="AB412" s="87"/>
      <c r="AC412" s="87"/>
      <c r="AD412" s="87"/>
      <c r="AE412" s="87" t="s">
        <v>1128</v>
      </c>
      <c r="AF412" s="87"/>
      <c r="AG412" s="87"/>
      <c r="AH412" s="87"/>
      <c r="AI412" s="87"/>
      <c r="AJ412" s="96"/>
      <c r="AK412" s="96"/>
      <c r="AL412" s="96"/>
      <c r="AM412" s="96"/>
      <c r="AN412" s="96"/>
      <c r="AO412" s="96"/>
      <c r="AP412" s="96"/>
      <c r="AQ412" s="368"/>
      <c r="AR412" s="368"/>
      <c r="BA412" s="1" t="s">
        <v>668</v>
      </c>
      <c r="BE412" s="1" t="s">
        <v>724</v>
      </c>
    </row>
    <row r="413" spans="26:61" x14ac:dyDescent="0.25">
      <c r="Z413" s="96"/>
      <c r="AA413" s="87" t="s">
        <v>567</v>
      </c>
      <c r="AB413" s="87"/>
      <c r="AC413" s="87"/>
      <c r="AD413" s="87"/>
      <c r="AE413" s="87"/>
      <c r="AF413" s="87"/>
      <c r="AG413" s="87"/>
      <c r="AH413" s="87"/>
      <c r="AI413" s="87"/>
      <c r="AJ413" s="96"/>
      <c r="AK413" s="96"/>
      <c r="AL413" s="96"/>
      <c r="AM413" s="96"/>
      <c r="AN413" s="96"/>
      <c r="AO413" s="96"/>
      <c r="AP413" s="96"/>
      <c r="AQ413" s="368"/>
      <c r="AR413" s="368"/>
      <c r="BA413" s="1" t="s">
        <v>733</v>
      </c>
    </row>
    <row r="414" spans="26:61" x14ac:dyDescent="0.25">
      <c r="Z414" s="96"/>
      <c r="AA414" s="87" t="s">
        <v>568</v>
      </c>
      <c r="AB414" s="87"/>
      <c r="AC414" s="87"/>
      <c r="AD414" s="87"/>
      <c r="AE414" s="87"/>
      <c r="AF414" s="87"/>
      <c r="AG414" s="87"/>
      <c r="AH414" s="87"/>
      <c r="AI414" s="87"/>
      <c r="AJ414" s="96"/>
      <c r="AK414" s="96"/>
      <c r="AL414" s="96"/>
      <c r="AM414" s="96"/>
      <c r="AN414" s="96"/>
      <c r="AO414" s="96"/>
      <c r="AP414" s="96"/>
      <c r="AQ414" s="368"/>
      <c r="AR414" s="368"/>
      <c r="BA414" s="1" t="s">
        <v>734</v>
      </c>
    </row>
    <row r="415" spans="26:61" x14ac:dyDescent="0.25">
      <c r="Z415" s="96"/>
      <c r="AA415" s="87" t="s">
        <v>103</v>
      </c>
      <c r="AB415" s="87"/>
      <c r="AC415" s="87"/>
      <c r="AD415" s="87"/>
      <c r="AE415" s="87"/>
      <c r="AF415" s="87"/>
      <c r="AG415" s="87"/>
      <c r="AH415" s="87"/>
      <c r="AI415" s="369" t="s">
        <v>737</v>
      </c>
      <c r="AJ415" s="96"/>
      <c r="AK415" s="96"/>
      <c r="AL415" s="96"/>
      <c r="AM415" s="96"/>
      <c r="AN415" s="96"/>
      <c r="AO415" s="96"/>
      <c r="AP415" s="96"/>
      <c r="AQ415" s="368"/>
      <c r="AR415" s="368"/>
      <c r="BA415" s="1" t="s">
        <v>725</v>
      </c>
      <c r="BI415" s="1" t="s">
        <v>669</v>
      </c>
    </row>
    <row r="416" spans="26:61" x14ac:dyDescent="0.25">
      <c r="Z416" s="96"/>
      <c r="AA416" s="87" t="s">
        <v>847</v>
      </c>
      <c r="AB416" s="87"/>
      <c r="AC416" s="87"/>
      <c r="AD416" s="87"/>
      <c r="AE416" s="87"/>
      <c r="AF416" s="87"/>
      <c r="AG416" s="87"/>
      <c r="AH416" s="87"/>
      <c r="AI416" s="369"/>
      <c r="AJ416" s="96"/>
      <c r="AK416" s="96"/>
      <c r="AL416" s="96"/>
      <c r="AM416" s="96"/>
      <c r="AN416" s="96"/>
      <c r="AO416" s="96"/>
      <c r="AP416" s="96"/>
      <c r="AQ416" s="368"/>
      <c r="AR416" s="368"/>
      <c r="BA416" s="63" t="s">
        <v>1206</v>
      </c>
    </row>
    <row r="417" spans="26:53" x14ac:dyDescent="0.25">
      <c r="Z417" s="96"/>
      <c r="AA417" s="87" t="s">
        <v>1316</v>
      </c>
      <c r="AB417" s="87"/>
      <c r="AC417" s="87"/>
      <c r="AD417" s="87"/>
      <c r="AE417" s="87"/>
      <c r="AF417" s="87"/>
      <c r="AG417" s="87"/>
      <c r="AH417" s="87"/>
      <c r="AI417" s="87"/>
      <c r="AJ417" s="96"/>
      <c r="AK417" s="96"/>
      <c r="AL417" s="96"/>
      <c r="AM417" s="96"/>
      <c r="AN417" s="96"/>
      <c r="AO417" s="96"/>
      <c r="AP417" s="96"/>
      <c r="AQ417" s="368"/>
      <c r="AR417" s="368"/>
      <c r="BA417" s="63" t="s">
        <v>1317</v>
      </c>
    </row>
    <row r="418" spans="26:53" x14ac:dyDescent="0.25">
      <c r="Z418" s="96"/>
      <c r="AA418" s="87"/>
      <c r="AB418" s="87"/>
      <c r="AC418" s="87"/>
      <c r="AD418" s="87"/>
      <c r="AE418" s="87"/>
      <c r="AF418" s="87"/>
      <c r="AG418" s="87"/>
      <c r="AH418" s="87"/>
      <c r="AI418" s="87"/>
      <c r="AJ418" s="96"/>
      <c r="AK418" s="96"/>
      <c r="AL418" s="96"/>
      <c r="AM418" s="96"/>
      <c r="AN418" s="96"/>
      <c r="AO418" s="96"/>
      <c r="AP418" s="96"/>
      <c r="AQ418" s="368"/>
      <c r="AR418" s="368"/>
    </row>
    <row r="419" spans="26:53" x14ac:dyDescent="0.25">
      <c r="Z419" s="96"/>
      <c r="AA419" s="87"/>
      <c r="AB419" s="87"/>
      <c r="AC419" s="87"/>
      <c r="AD419" s="87"/>
      <c r="AE419" s="87"/>
      <c r="AF419" s="87"/>
      <c r="AG419" s="483"/>
      <c r="AH419" s="87"/>
      <c r="AI419" s="87"/>
      <c r="AJ419" s="96"/>
      <c r="AK419" s="96"/>
      <c r="AL419" s="96"/>
      <c r="AM419" s="96"/>
      <c r="AN419" s="96"/>
      <c r="AO419" s="96"/>
      <c r="AP419" s="96"/>
      <c r="AQ419" s="368"/>
      <c r="AR419" s="368"/>
    </row>
    <row r="420" spans="26:53" x14ac:dyDescent="0.25">
      <c r="Z420" s="96"/>
      <c r="AA420" s="87"/>
      <c r="AB420" s="87"/>
      <c r="AC420" s="87"/>
      <c r="AD420" s="87"/>
      <c r="AE420" s="87"/>
      <c r="AF420" s="87"/>
      <c r="AG420" s="87"/>
      <c r="AH420" s="87"/>
      <c r="AI420" s="87"/>
      <c r="AJ420" s="96"/>
      <c r="AK420" s="96"/>
      <c r="AL420" s="96"/>
      <c r="AM420" s="96"/>
      <c r="AN420" s="96"/>
      <c r="AO420" s="96"/>
      <c r="AP420" s="96"/>
      <c r="AQ420" s="368"/>
      <c r="AR420" s="368"/>
    </row>
    <row r="421" spans="26:53" x14ac:dyDescent="0.25">
      <c r="Z421" s="96"/>
      <c r="AA421" s="87"/>
      <c r="AB421" s="87"/>
      <c r="AC421" s="87"/>
      <c r="AD421" s="87"/>
      <c r="AE421" s="87"/>
      <c r="AF421" s="87"/>
      <c r="AG421" s="87"/>
      <c r="AH421" s="87"/>
      <c r="AI421" s="87"/>
      <c r="AJ421" s="96"/>
      <c r="AK421" s="96"/>
      <c r="AL421" s="96"/>
      <c r="AM421" s="96"/>
      <c r="AN421" s="96"/>
      <c r="AO421" s="96"/>
      <c r="AP421" s="96"/>
      <c r="AQ421" s="368"/>
      <c r="AR421" s="368"/>
    </row>
    <row r="422" spans="26:53" x14ac:dyDescent="0.25">
      <c r="Z422" s="96"/>
      <c r="AA422" s="87"/>
      <c r="AB422" s="87"/>
      <c r="AC422" s="87"/>
      <c r="AD422" s="87"/>
      <c r="AE422" s="87"/>
      <c r="AF422" s="87"/>
      <c r="AG422" s="87"/>
      <c r="AH422" s="87"/>
      <c r="AI422" s="87"/>
      <c r="AJ422" s="96"/>
      <c r="AK422" s="96"/>
      <c r="AL422" s="96"/>
      <c r="AM422" s="96"/>
      <c r="AN422" s="96"/>
      <c r="AO422" s="96"/>
      <c r="AP422" s="96"/>
      <c r="AQ422" s="368"/>
      <c r="AR422" s="368"/>
    </row>
    <row r="423" spans="26:53" x14ac:dyDescent="0.25">
      <c r="Z423" s="96"/>
      <c r="AA423" s="87"/>
      <c r="AB423" s="87"/>
      <c r="AC423" s="87"/>
      <c r="AD423" s="87"/>
      <c r="AE423" s="87"/>
      <c r="AF423" s="87"/>
      <c r="AG423" s="87"/>
      <c r="AH423" s="87"/>
      <c r="AI423" s="87"/>
      <c r="AJ423" s="96"/>
      <c r="AK423" s="96"/>
      <c r="AL423" s="96"/>
      <c r="AM423" s="96"/>
      <c r="AN423" s="96"/>
      <c r="AO423" s="96"/>
      <c r="AP423" s="96"/>
      <c r="AQ423" s="368"/>
      <c r="AR423" s="368"/>
    </row>
    <row r="424" spans="26:53" x14ac:dyDescent="0.25">
      <c r="Z424" s="96"/>
      <c r="AA424" s="87"/>
      <c r="AB424" s="87"/>
      <c r="AC424" s="87"/>
      <c r="AD424" s="87"/>
      <c r="AE424" s="87"/>
      <c r="AF424" s="87"/>
      <c r="AG424" s="87"/>
      <c r="AH424" s="87"/>
      <c r="AI424" s="87"/>
      <c r="AJ424" s="96"/>
      <c r="AK424" s="96"/>
      <c r="AL424" s="96"/>
      <c r="AM424" s="96"/>
      <c r="AN424" s="96"/>
      <c r="AO424" s="96"/>
      <c r="AP424" s="96"/>
      <c r="AQ424" s="368"/>
      <c r="AR424" s="368"/>
    </row>
    <row r="425" spans="26:53" x14ac:dyDescent="0.25">
      <c r="Z425" s="96"/>
      <c r="AA425" s="87"/>
      <c r="AB425" s="87"/>
      <c r="AC425" s="87"/>
      <c r="AD425" s="87"/>
      <c r="AE425" s="87"/>
      <c r="AF425" s="87"/>
      <c r="AG425" s="87"/>
      <c r="AH425" s="87"/>
      <c r="AI425" s="87"/>
      <c r="AJ425" s="96"/>
      <c r="AK425" s="96"/>
      <c r="AL425" s="96"/>
      <c r="AM425" s="96"/>
      <c r="AN425" s="96"/>
      <c r="AO425" s="96"/>
      <c r="AP425" s="96"/>
      <c r="AQ425" s="368"/>
      <c r="AR425" s="368"/>
    </row>
    <row r="426" spans="26:53" x14ac:dyDescent="0.25">
      <c r="Z426" s="96"/>
      <c r="AA426" s="87"/>
      <c r="AB426" s="87"/>
      <c r="AC426" s="87"/>
      <c r="AD426" s="87"/>
      <c r="AE426" s="87"/>
      <c r="AF426" s="87"/>
      <c r="AG426" s="87"/>
      <c r="AH426" s="87"/>
      <c r="AI426" s="87"/>
      <c r="AJ426" s="96"/>
      <c r="AK426" s="96"/>
      <c r="AL426" s="96"/>
      <c r="AM426" s="96"/>
      <c r="AN426" s="96"/>
      <c r="AO426" s="96"/>
      <c r="AP426" s="96"/>
      <c r="AQ426" s="368"/>
      <c r="AR426" s="368"/>
    </row>
    <row r="427" spans="26:53" x14ac:dyDescent="0.25">
      <c r="Z427" s="96"/>
      <c r="AA427" s="87"/>
      <c r="AB427" s="87"/>
      <c r="AC427" s="87"/>
      <c r="AD427" s="87"/>
      <c r="AE427" s="87"/>
      <c r="AF427" s="87"/>
      <c r="AG427" s="87"/>
      <c r="AH427" s="87"/>
      <c r="AI427" s="87"/>
      <c r="AJ427" s="96"/>
      <c r="AK427" s="96"/>
      <c r="AL427" s="96"/>
      <c r="AM427" s="96"/>
      <c r="AN427" s="96"/>
      <c r="AO427" s="96"/>
      <c r="AP427" s="96"/>
      <c r="AQ427" s="368"/>
      <c r="AR427" s="368"/>
    </row>
    <row r="428" spans="26:53" x14ac:dyDescent="0.25">
      <c r="Z428" s="96"/>
      <c r="AA428" s="87"/>
      <c r="AB428" s="87"/>
      <c r="AC428" s="87"/>
      <c r="AD428" s="87"/>
      <c r="AE428" s="87"/>
      <c r="AF428" s="87"/>
      <c r="AG428" s="87"/>
      <c r="AH428" s="87"/>
      <c r="AI428" s="87"/>
      <c r="AJ428" s="96"/>
      <c r="AK428" s="96"/>
      <c r="AL428" s="96"/>
      <c r="AM428" s="96"/>
      <c r="AN428" s="96"/>
      <c r="AO428" s="96"/>
      <c r="AP428" s="96"/>
      <c r="AQ428" s="368"/>
      <c r="AR428" s="368"/>
    </row>
    <row r="429" spans="26:53" x14ac:dyDescent="0.25">
      <c r="Z429" s="96"/>
      <c r="AA429" s="87"/>
      <c r="AB429" s="87"/>
      <c r="AC429" s="87"/>
      <c r="AD429" s="87"/>
      <c r="AE429" s="484"/>
      <c r="AF429" s="485"/>
      <c r="AG429" s="87"/>
      <c r="AH429" s="87"/>
      <c r="AI429" s="87"/>
      <c r="AJ429" s="96"/>
      <c r="AK429" s="96"/>
      <c r="AL429" s="96"/>
      <c r="AM429" s="96"/>
      <c r="AN429" s="96"/>
      <c r="AO429" s="96"/>
      <c r="AP429" s="96"/>
      <c r="AQ429" s="368"/>
      <c r="AR429" s="368"/>
    </row>
    <row r="430" spans="26:53" x14ac:dyDescent="0.25">
      <c r="Z430" s="96"/>
      <c r="AA430" s="87"/>
      <c r="AB430" s="87"/>
      <c r="AC430" s="87"/>
      <c r="AD430" s="87"/>
      <c r="AE430" s="486"/>
      <c r="AF430" s="487"/>
      <c r="AG430" s="87"/>
      <c r="AH430" s="87"/>
      <c r="AI430" s="87"/>
      <c r="AJ430" s="96"/>
      <c r="AK430" s="96"/>
      <c r="AL430" s="96"/>
      <c r="AM430" s="96"/>
      <c r="AN430" s="96"/>
      <c r="AO430" s="96"/>
      <c r="AP430" s="96"/>
      <c r="AQ430" s="368"/>
      <c r="AR430" s="368"/>
    </row>
    <row r="431" spans="26:53" x14ac:dyDescent="0.25">
      <c r="Z431" s="96"/>
      <c r="AA431" s="96"/>
      <c r="AB431" s="96"/>
      <c r="AC431" s="96"/>
      <c r="AD431" s="96"/>
      <c r="AE431" s="96"/>
      <c r="AF431" s="96"/>
      <c r="AG431" s="482"/>
      <c r="AH431" s="482"/>
      <c r="AI431" s="482"/>
      <c r="AJ431" s="96"/>
      <c r="AK431" s="96"/>
      <c r="AL431" s="96"/>
      <c r="AM431" s="96"/>
      <c r="AN431" s="96"/>
      <c r="AO431" s="96"/>
      <c r="AP431" s="96"/>
      <c r="AQ431" s="368"/>
      <c r="AR431" s="368"/>
    </row>
    <row r="432" spans="26:53" x14ac:dyDescent="0.25">
      <c r="Z432" s="96"/>
      <c r="AA432" s="87"/>
      <c r="AB432" s="87"/>
      <c r="AC432" s="87"/>
      <c r="AD432" s="87"/>
      <c r="AE432" s="87"/>
      <c r="AF432" s="87"/>
      <c r="AG432" s="488"/>
      <c r="AH432" s="489"/>
      <c r="AI432" s="489"/>
      <c r="AJ432" s="96"/>
      <c r="AK432" s="96"/>
      <c r="AL432" s="96"/>
      <c r="AM432" s="96"/>
      <c r="AN432" s="96"/>
      <c r="AO432" s="96"/>
      <c r="AP432" s="96"/>
      <c r="AQ432" s="368"/>
      <c r="AR432" s="368"/>
    </row>
    <row r="433" spans="26:44" x14ac:dyDescent="0.25">
      <c r="Z433" s="96"/>
      <c r="AA433" s="87"/>
      <c r="AB433" s="87"/>
      <c r="AC433" s="87"/>
      <c r="AD433" s="87"/>
      <c r="AE433" s="87"/>
      <c r="AF433" s="87"/>
      <c r="AG433" s="488"/>
      <c r="AH433" s="489"/>
      <c r="AI433" s="489"/>
      <c r="AJ433" s="96"/>
      <c r="AK433" s="96"/>
      <c r="AL433" s="96"/>
      <c r="AM433" s="96"/>
      <c r="AN433" s="96"/>
      <c r="AO433" s="96"/>
      <c r="AP433" s="96"/>
      <c r="AQ433" s="368"/>
      <c r="AR433" s="368"/>
    </row>
    <row r="434" spans="26:44" x14ac:dyDescent="0.25">
      <c r="Z434" s="96"/>
      <c r="AA434" s="87"/>
      <c r="AB434" s="87"/>
      <c r="AC434" s="87"/>
      <c r="AD434" s="87"/>
      <c r="AE434" s="87"/>
      <c r="AF434" s="87"/>
      <c r="AG434" s="488"/>
      <c r="AH434" s="489"/>
      <c r="AI434" s="489"/>
      <c r="AJ434" s="96"/>
      <c r="AK434" s="96"/>
      <c r="AL434" s="96"/>
      <c r="AM434" s="96"/>
      <c r="AN434" s="96"/>
      <c r="AO434" s="96"/>
      <c r="AP434" s="96"/>
      <c r="AQ434" s="368"/>
      <c r="AR434" s="368"/>
    </row>
    <row r="435" spans="26:44" x14ac:dyDescent="0.25">
      <c r="Z435" s="96"/>
      <c r="AA435" s="87"/>
      <c r="AB435" s="87"/>
      <c r="AC435" s="87"/>
      <c r="AD435" s="87"/>
      <c r="AE435" s="87"/>
      <c r="AF435" s="87"/>
      <c r="AG435" s="488"/>
      <c r="AH435" s="489"/>
      <c r="AI435" s="489"/>
      <c r="AJ435" s="96"/>
      <c r="AK435" s="96"/>
      <c r="AL435" s="96"/>
      <c r="AM435" s="96"/>
      <c r="AN435" s="96"/>
      <c r="AO435" s="96"/>
      <c r="AP435" s="96"/>
      <c r="AQ435" s="368"/>
      <c r="AR435" s="368"/>
    </row>
    <row r="436" spans="26:44" x14ac:dyDescent="0.25">
      <c r="Z436" s="96"/>
      <c r="AA436" s="87"/>
      <c r="AB436" s="87"/>
      <c r="AC436" s="87"/>
      <c r="AD436" s="87"/>
      <c r="AE436" s="87"/>
      <c r="AF436" s="87"/>
      <c r="AG436" s="488"/>
      <c r="AH436" s="489"/>
      <c r="AI436" s="489"/>
      <c r="AJ436" s="96"/>
      <c r="AK436" s="96"/>
      <c r="AL436" s="96"/>
      <c r="AM436" s="96"/>
      <c r="AN436" s="96"/>
      <c r="AO436" s="96"/>
      <c r="AP436" s="96"/>
      <c r="AQ436" s="368"/>
      <c r="AR436" s="368"/>
    </row>
    <row r="437" spans="26:44" x14ac:dyDescent="0.25">
      <c r="Z437" s="96"/>
      <c r="AA437" s="87"/>
      <c r="AB437" s="87"/>
      <c r="AC437" s="87"/>
      <c r="AD437" s="87"/>
      <c r="AE437" s="87"/>
      <c r="AF437" s="87"/>
      <c r="AG437" s="488"/>
      <c r="AH437" s="489"/>
      <c r="AI437" s="489"/>
      <c r="AJ437" s="96"/>
      <c r="AK437" s="96"/>
      <c r="AL437" s="96"/>
      <c r="AM437" s="96"/>
      <c r="AN437" s="96"/>
      <c r="AO437" s="96"/>
      <c r="AP437" s="96"/>
      <c r="AQ437" s="368"/>
      <c r="AR437" s="368"/>
    </row>
    <row r="438" spans="26:44" x14ac:dyDescent="0.25">
      <c r="Z438" s="96"/>
      <c r="AA438" s="87"/>
      <c r="AB438" s="87"/>
      <c r="AC438" s="87"/>
      <c r="AD438" s="87"/>
      <c r="AE438" s="87"/>
      <c r="AF438" s="87"/>
      <c r="AG438" s="488"/>
      <c r="AH438" s="489"/>
      <c r="AI438" s="489"/>
      <c r="AJ438" s="96"/>
      <c r="AK438" s="96"/>
      <c r="AL438" s="96"/>
      <c r="AM438" s="96"/>
      <c r="AN438" s="96"/>
      <c r="AO438" s="96"/>
      <c r="AP438" s="96"/>
      <c r="AQ438" s="368"/>
      <c r="AR438" s="368"/>
    </row>
    <row r="439" spans="26:44" x14ac:dyDescent="0.25">
      <c r="Z439" s="96"/>
      <c r="AA439" s="87"/>
      <c r="AB439" s="87"/>
      <c r="AC439" s="87"/>
      <c r="AD439" s="87"/>
      <c r="AE439" s="87"/>
      <c r="AF439" s="87"/>
      <c r="AG439" s="488"/>
      <c r="AH439" s="489"/>
      <c r="AI439" s="489"/>
      <c r="AJ439" s="96"/>
      <c r="AK439" s="96"/>
      <c r="AL439" s="96"/>
      <c r="AM439" s="96"/>
      <c r="AN439" s="96"/>
      <c r="AO439" s="96"/>
      <c r="AP439" s="96"/>
      <c r="AQ439" s="368"/>
      <c r="AR439" s="368"/>
    </row>
    <row r="440" spans="26:44" x14ac:dyDescent="0.25">
      <c r="Z440" s="96"/>
      <c r="AA440" s="87"/>
      <c r="AB440" s="87"/>
      <c r="AC440" s="87"/>
      <c r="AD440" s="87"/>
      <c r="AE440" s="87"/>
      <c r="AF440" s="87"/>
      <c r="AG440" s="488"/>
      <c r="AH440" s="489"/>
      <c r="AI440" s="489"/>
      <c r="AJ440" s="96"/>
      <c r="AK440" s="96"/>
      <c r="AL440" s="96"/>
      <c r="AM440" s="96"/>
      <c r="AN440" s="96"/>
      <c r="AO440" s="96"/>
      <c r="AP440" s="96"/>
      <c r="AQ440" s="368"/>
      <c r="AR440" s="368"/>
    </row>
    <row r="441" spans="26:44" x14ac:dyDescent="0.25">
      <c r="Z441" s="96"/>
      <c r="AA441" s="87"/>
      <c r="AB441" s="87"/>
      <c r="AC441" s="87"/>
      <c r="AD441" s="87"/>
      <c r="AE441" s="87"/>
      <c r="AF441" s="87"/>
      <c r="AG441" s="488"/>
      <c r="AH441" s="489"/>
      <c r="AI441" s="489"/>
      <c r="AJ441" s="96"/>
      <c r="AK441" s="96"/>
      <c r="AL441" s="96"/>
      <c r="AM441" s="96"/>
      <c r="AN441" s="96"/>
      <c r="AO441" s="96"/>
      <c r="AP441" s="96"/>
      <c r="AQ441" s="368"/>
      <c r="AR441" s="368"/>
    </row>
    <row r="442" spans="26:44" x14ac:dyDescent="0.25">
      <c r="Z442" s="96"/>
      <c r="AA442" s="87"/>
      <c r="AB442" s="87"/>
      <c r="AC442" s="87"/>
      <c r="AD442" s="87"/>
      <c r="AE442" s="87"/>
      <c r="AF442" s="87"/>
      <c r="AG442" s="488"/>
      <c r="AH442" s="489"/>
      <c r="AI442" s="489"/>
      <c r="AJ442" s="96"/>
      <c r="AK442" s="96"/>
      <c r="AL442" s="96"/>
      <c r="AM442" s="96"/>
      <c r="AN442" s="96"/>
      <c r="AO442" s="96"/>
      <c r="AP442" s="96"/>
      <c r="AQ442" s="368"/>
      <c r="AR442" s="368"/>
    </row>
    <row r="443" spans="26:44" x14ac:dyDescent="0.25">
      <c r="Z443" s="96"/>
      <c r="AA443" s="87"/>
      <c r="AB443" s="87"/>
      <c r="AC443" s="87"/>
      <c r="AD443" s="87"/>
      <c r="AE443" s="87"/>
      <c r="AF443" s="87"/>
      <c r="AG443" s="488"/>
      <c r="AH443" s="489"/>
      <c r="AI443" s="489"/>
      <c r="AJ443" s="96"/>
      <c r="AK443" s="96"/>
      <c r="AL443" s="96"/>
      <c r="AM443" s="96"/>
      <c r="AN443" s="96"/>
      <c r="AO443" s="96"/>
      <c r="AP443" s="96"/>
      <c r="AQ443" s="368"/>
      <c r="AR443" s="368"/>
    </row>
    <row r="444" spans="26:44" x14ac:dyDescent="0.25">
      <c r="Z444" s="96"/>
      <c r="AA444" s="87"/>
      <c r="AB444" s="87"/>
      <c r="AC444" s="87"/>
      <c r="AD444" s="87"/>
      <c r="AE444" s="87"/>
      <c r="AF444" s="87"/>
      <c r="AG444" s="488"/>
      <c r="AH444" s="489"/>
      <c r="AI444" s="489"/>
      <c r="AJ444" s="96"/>
      <c r="AK444" s="96"/>
      <c r="AL444" s="96"/>
      <c r="AM444" s="96"/>
      <c r="AN444" s="96"/>
      <c r="AO444" s="96"/>
      <c r="AP444" s="96"/>
      <c r="AQ444" s="368"/>
      <c r="AR444" s="368"/>
    </row>
    <row r="445" spans="26:44" x14ac:dyDescent="0.25">
      <c r="Z445" s="96"/>
      <c r="AA445" s="87"/>
      <c r="AB445" s="87"/>
      <c r="AC445" s="87"/>
      <c r="AD445" s="87"/>
      <c r="AE445" s="87"/>
      <c r="AF445" s="87"/>
      <c r="AG445" s="488"/>
      <c r="AH445" s="489"/>
      <c r="AI445" s="489"/>
      <c r="AJ445" s="96"/>
      <c r="AK445" s="96"/>
      <c r="AL445" s="96"/>
      <c r="AM445" s="96"/>
      <c r="AN445" s="96"/>
      <c r="AO445" s="96"/>
      <c r="AP445" s="96"/>
      <c r="AQ445" s="368"/>
      <c r="AR445" s="368"/>
    </row>
    <row r="446" spans="26:44" x14ac:dyDescent="0.25">
      <c r="Z446" s="96"/>
      <c r="AA446" s="87"/>
      <c r="AB446" s="87"/>
      <c r="AC446" s="87"/>
      <c r="AD446" s="87"/>
      <c r="AE446" s="87"/>
      <c r="AF446" s="87"/>
      <c r="AG446" s="488"/>
      <c r="AH446" s="489"/>
      <c r="AI446" s="489"/>
      <c r="AJ446" s="96"/>
      <c r="AK446" s="96"/>
      <c r="AL446" s="96"/>
      <c r="AM446" s="96"/>
      <c r="AN446" s="96"/>
      <c r="AO446" s="96"/>
      <c r="AP446" s="96"/>
      <c r="AQ446" s="368"/>
      <c r="AR446" s="368"/>
    </row>
    <row r="447" spans="26:44" x14ac:dyDescent="0.25">
      <c r="Z447" s="96"/>
      <c r="AA447" s="87"/>
      <c r="AB447" s="87"/>
      <c r="AC447" s="87"/>
      <c r="AD447" s="87"/>
      <c r="AE447" s="87"/>
      <c r="AF447" s="87"/>
      <c r="AG447" s="488"/>
      <c r="AH447" s="489"/>
      <c r="AI447" s="489"/>
      <c r="AJ447" s="96"/>
      <c r="AK447" s="96"/>
      <c r="AL447" s="96"/>
      <c r="AM447" s="96"/>
      <c r="AN447" s="96"/>
      <c r="AO447" s="96"/>
      <c r="AP447" s="96"/>
      <c r="AQ447" s="368"/>
      <c r="AR447" s="368"/>
    </row>
    <row r="448" spans="26:44" x14ac:dyDescent="0.25">
      <c r="Z448" s="96"/>
      <c r="AA448" s="87"/>
      <c r="AB448" s="87"/>
      <c r="AC448" s="87"/>
      <c r="AD448" s="87"/>
      <c r="AE448" s="87"/>
      <c r="AF448" s="87"/>
      <c r="AG448" s="488"/>
      <c r="AH448" s="489"/>
      <c r="AI448" s="489"/>
      <c r="AJ448" s="96"/>
      <c r="AK448" s="96"/>
      <c r="AL448" s="96"/>
      <c r="AM448" s="96"/>
      <c r="AN448" s="96"/>
      <c r="AO448" s="96"/>
      <c r="AP448" s="96"/>
      <c r="AQ448" s="368"/>
      <c r="AR448" s="368"/>
    </row>
    <row r="449" spans="26:44" x14ac:dyDescent="0.25">
      <c r="Z449" s="96"/>
      <c r="AA449" s="87"/>
      <c r="AB449" s="87"/>
      <c r="AC449" s="87"/>
      <c r="AD449" s="87"/>
      <c r="AE449" s="87"/>
      <c r="AF449" s="87"/>
      <c r="AG449" s="488"/>
      <c r="AH449" s="489"/>
      <c r="AI449" s="489"/>
      <c r="AJ449" s="96"/>
      <c r="AK449" s="96"/>
      <c r="AL449" s="96"/>
      <c r="AM449" s="96"/>
      <c r="AN449" s="96"/>
      <c r="AO449" s="96"/>
      <c r="AP449" s="96"/>
      <c r="AQ449" s="368"/>
      <c r="AR449" s="368"/>
    </row>
    <row r="450" spans="26:44" x14ac:dyDescent="0.25">
      <c r="Z450" s="96"/>
      <c r="AA450" s="87"/>
      <c r="AB450" s="87"/>
      <c r="AC450" s="87"/>
      <c r="AD450" s="87"/>
      <c r="AE450" s="87"/>
      <c r="AF450" s="87"/>
      <c r="AG450" s="488"/>
      <c r="AH450" s="489"/>
      <c r="AI450" s="489"/>
      <c r="AJ450" s="96"/>
      <c r="AK450" s="96"/>
      <c r="AL450" s="96"/>
      <c r="AM450" s="96"/>
      <c r="AN450" s="96"/>
      <c r="AO450" s="96"/>
      <c r="AP450" s="96"/>
      <c r="AQ450" s="368"/>
      <c r="AR450" s="368"/>
    </row>
    <row r="451" spans="26:44" x14ac:dyDescent="0.25">
      <c r="Z451" s="96"/>
      <c r="AA451" s="87"/>
      <c r="AB451" s="87"/>
      <c r="AC451" s="87"/>
      <c r="AD451" s="87"/>
      <c r="AE451" s="87"/>
      <c r="AF451" s="87"/>
      <c r="AG451" s="488"/>
      <c r="AH451" s="489"/>
      <c r="AI451" s="489"/>
      <c r="AJ451" s="96"/>
      <c r="AK451" s="96"/>
      <c r="AL451" s="96"/>
      <c r="AM451" s="96"/>
      <c r="AN451" s="96"/>
      <c r="AO451" s="96"/>
      <c r="AP451" s="96"/>
      <c r="AQ451" s="368"/>
      <c r="AR451" s="368"/>
    </row>
    <row r="452" spans="26:44" x14ac:dyDescent="0.25">
      <c r="Z452" s="96"/>
      <c r="AA452" s="87"/>
      <c r="AB452" s="87"/>
      <c r="AC452" s="87"/>
      <c r="AD452" s="87"/>
      <c r="AE452" s="87"/>
      <c r="AF452" s="87"/>
      <c r="AG452" s="488"/>
      <c r="AH452" s="489"/>
      <c r="AI452" s="489"/>
      <c r="AJ452" s="96"/>
      <c r="AK452" s="96"/>
      <c r="AL452" s="96"/>
      <c r="AM452" s="96"/>
      <c r="AN452" s="96"/>
      <c r="AO452" s="96"/>
      <c r="AP452" s="96"/>
      <c r="AQ452" s="368"/>
      <c r="AR452" s="368"/>
    </row>
    <row r="453" spans="26:44" x14ac:dyDescent="0.25">
      <c r="Z453" s="96"/>
      <c r="AA453" s="87"/>
      <c r="AB453" s="87"/>
      <c r="AC453" s="87"/>
      <c r="AD453" s="87"/>
      <c r="AE453" s="87"/>
      <c r="AF453" s="87"/>
      <c r="AG453" s="488"/>
      <c r="AH453" s="489"/>
      <c r="AI453" s="489"/>
      <c r="AJ453" s="96"/>
      <c r="AK453" s="96"/>
      <c r="AL453" s="96"/>
      <c r="AM453" s="96"/>
      <c r="AN453" s="96"/>
      <c r="AO453" s="96"/>
      <c r="AP453" s="96"/>
      <c r="AQ453" s="368"/>
      <c r="AR453" s="368"/>
    </row>
    <row r="454" spans="26:44" x14ac:dyDescent="0.25">
      <c r="Z454" s="96"/>
      <c r="AA454" s="87"/>
      <c r="AB454" s="87"/>
      <c r="AC454" s="87"/>
      <c r="AD454" s="87"/>
      <c r="AE454" s="87"/>
      <c r="AF454" s="87"/>
      <c r="AG454" s="488"/>
      <c r="AH454" s="489"/>
      <c r="AI454" s="489"/>
      <c r="AJ454" s="96"/>
      <c r="AK454" s="96"/>
      <c r="AL454" s="96"/>
      <c r="AM454" s="96"/>
      <c r="AN454" s="96"/>
      <c r="AO454" s="96"/>
      <c r="AP454" s="96"/>
      <c r="AQ454" s="368"/>
      <c r="AR454" s="368"/>
    </row>
    <row r="455" spans="26:44" x14ac:dyDescent="0.25">
      <c r="Z455" s="96"/>
      <c r="AA455" s="87"/>
      <c r="AB455" s="87"/>
      <c r="AC455" s="87"/>
      <c r="AD455" s="87"/>
      <c r="AE455" s="87"/>
      <c r="AF455" s="87"/>
      <c r="AG455" s="488"/>
      <c r="AH455" s="489"/>
      <c r="AI455" s="489"/>
      <c r="AJ455" s="96"/>
      <c r="AK455" s="96"/>
      <c r="AL455" s="96"/>
      <c r="AM455" s="96"/>
      <c r="AN455" s="96"/>
      <c r="AO455" s="96"/>
      <c r="AP455" s="96"/>
      <c r="AQ455" s="368"/>
      <c r="AR455" s="368"/>
    </row>
    <row r="456" spans="26:44" x14ac:dyDescent="0.25">
      <c r="Z456" s="96"/>
      <c r="AA456" s="87"/>
      <c r="AB456" s="87"/>
      <c r="AC456" s="87"/>
      <c r="AD456" s="87"/>
      <c r="AE456" s="87"/>
      <c r="AF456" s="87"/>
      <c r="AG456" s="488"/>
      <c r="AH456" s="489"/>
      <c r="AI456" s="489"/>
      <c r="AJ456" s="96"/>
      <c r="AK456" s="96"/>
      <c r="AL456" s="96"/>
      <c r="AM456" s="96"/>
      <c r="AN456" s="96"/>
      <c r="AO456" s="96"/>
      <c r="AP456" s="96"/>
      <c r="AQ456" s="368"/>
      <c r="AR456" s="368"/>
    </row>
    <row r="457" spans="26:44" x14ac:dyDescent="0.25">
      <c r="Z457" s="96"/>
      <c r="AA457" s="87"/>
      <c r="AB457" s="87"/>
      <c r="AC457" s="87"/>
      <c r="AD457" s="87"/>
      <c r="AE457" s="87"/>
      <c r="AF457" s="87"/>
      <c r="AG457" s="488"/>
      <c r="AH457" s="489"/>
      <c r="AI457" s="489"/>
      <c r="AJ457" s="96"/>
      <c r="AK457" s="96"/>
      <c r="AL457" s="96"/>
      <c r="AM457" s="96"/>
      <c r="AN457" s="96"/>
      <c r="AO457" s="96"/>
      <c r="AP457" s="96"/>
      <c r="AQ457" s="368"/>
      <c r="AR457" s="368"/>
    </row>
    <row r="458" spans="26:44" x14ac:dyDescent="0.25">
      <c r="Z458" s="96"/>
      <c r="AA458" s="87"/>
      <c r="AB458" s="87"/>
      <c r="AC458" s="87"/>
      <c r="AD458" s="87"/>
      <c r="AE458" s="87"/>
      <c r="AF458" s="87"/>
      <c r="AG458" s="488"/>
      <c r="AH458" s="489"/>
      <c r="AI458" s="489"/>
      <c r="AJ458" s="96"/>
      <c r="AK458" s="96"/>
      <c r="AL458" s="96"/>
      <c r="AM458" s="96"/>
      <c r="AN458" s="96"/>
      <c r="AO458" s="96"/>
      <c r="AP458" s="96"/>
      <c r="AQ458" s="368"/>
      <c r="AR458" s="368"/>
    </row>
    <row r="459" spans="26:44" x14ac:dyDescent="0.25">
      <c r="Z459" s="96"/>
      <c r="AA459" s="87"/>
      <c r="AB459" s="87"/>
      <c r="AC459" s="87"/>
      <c r="AD459" s="87"/>
      <c r="AE459" s="87"/>
      <c r="AF459" s="87"/>
      <c r="AG459" s="488"/>
      <c r="AH459" s="489"/>
      <c r="AI459" s="489"/>
      <c r="AJ459" s="96"/>
      <c r="AK459" s="96"/>
      <c r="AL459" s="96"/>
      <c r="AM459" s="96"/>
      <c r="AN459" s="96"/>
      <c r="AO459" s="96"/>
      <c r="AP459" s="96"/>
      <c r="AQ459" s="368"/>
      <c r="AR459" s="368"/>
    </row>
    <row r="460" spans="26:44" x14ac:dyDescent="0.25">
      <c r="Z460" s="96"/>
      <c r="AA460" s="87"/>
      <c r="AB460" s="87"/>
      <c r="AC460" s="87"/>
      <c r="AD460" s="87"/>
      <c r="AE460" s="87"/>
      <c r="AF460" s="87"/>
      <c r="AG460" s="488"/>
      <c r="AH460" s="489"/>
      <c r="AI460" s="489"/>
      <c r="AJ460" s="96"/>
      <c r="AK460" s="96"/>
      <c r="AL460" s="96"/>
      <c r="AM460" s="96"/>
      <c r="AN460" s="96"/>
      <c r="AO460" s="96"/>
      <c r="AP460" s="96"/>
      <c r="AQ460" s="368"/>
      <c r="AR460" s="368"/>
    </row>
    <row r="461" spans="26:44" x14ac:dyDescent="0.25">
      <c r="Z461" s="96"/>
      <c r="AA461" s="87"/>
      <c r="AB461" s="87"/>
      <c r="AC461" s="87"/>
      <c r="AD461" s="87"/>
      <c r="AE461" s="87"/>
      <c r="AF461" s="87"/>
      <c r="AG461" s="488"/>
      <c r="AH461" s="489"/>
      <c r="AI461" s="489"/>
      <c r="AJ461" s="96"/>
      <c r="AK461" s="96"/>
      <c r="AL461" s="96"/>
      <c r="AM461" s="96"/>
      <c r="AN461" s="96"/>
      <c r="AO461" s="96"/>
      <c r="AP461" s="96"/>
      <c r="AQ461" s="368"/>
      <c r="AR461" s="368"/>
    </row>
    <row r="462" spans="26:44" x14ac:dyDescent="0.25">
      <c r="Z462" s="96"/>
      <c r="AA462" s="87"/>
      <c r="AB462" s="87"/>
      <c r="AC462" s="87"/>
      <c r="AD462" s="87"/>
      <c r="AE462" s="87"/>
      <c r="AF462" s="87"/>
      <c r="AG462" s="488"/>
      <c r="AH462" s="489"/>
      <c r="AI462" s="489"/>
      <c r="AJ462" s="96"/>
      <c r="AK462" s="96"/>
      <c r="AL462" s="96"/>
      <c r="AM462" s="96"/>
      <c r="AN462" s="96"/>
      <c r="AO462" s="96"/>
      <c r="AP462" s="96"/>
      <c r="AQ462" s="368"/>
      <c r="AR462" s="368"/>
    </row>
    <row r="463" spans="26:44" x14ac:dyDescent="0.25">
      <c r="Z463" s="96"/>
      <c r="AA463" s="87"/>
      <c r="AB463" s="87"/>
      <c r="AC463" s="87"/>
      <c r="AD463" s="87"/>
      <c r="AE463" s="87"/>
      <c r="AF463" s="87"/>
      <c r="AG463" s="488"/>
      <c r="AH463" s="489"/>
      <c r="AI463" s="489"/>
      <c r="AJ463" s="96"/>
      <c r="AK463" s="96"/>
      <c r="AL463" s="96"/>
      <c r="AM463" s="96"/>
      <c r="AN463" s="96"/>
      <c r="AO463" s="96"/>
      <c r="AP463" s="96"/>
      <c r="AQ463" s="368"/>
      <c r="AR463" s="368"/>
    </row>
    <row r="464" spans="26:44" x14ac:dyDescent="0.25">
      <c r="Z464" s="96"/>
      <c r="AA464" s="87"/>
      <c r="AB464" s="87"/>
      <c r="AC464" s="87"/>
      <c r="AD464" s="87"/>
      <c r="AE464" s="87"/>
      <c r="AF464" s="87"/>
      <c r="AG464" s="488"/>
      <c r="AH464" s="489"/>
      <c r="AI464" s="489"/>
      <c r="AJ464" s="96"/>
      <c r="AK464" s="96"/>
      <c r="AL464" s="96"/>
      <c r="AM464" s="96"/>
      <c r="AN464" s="96"/>
      <c r="AO464" s="96"/>
      <c r="AP464" s="96"/>
      <c r="AQ464" s="368"/>
      <c r="AR464" s="368"/>
    </row>
    <row r="465" spans="26:44" x14ac:dyDescent="0.25">
      <c r="Z465" s="96"/>
      <c r="AA465" s="87"/>
      <c r="AB465" s="87"/>
      <c r="AC465" s="87"/>
      <c r="AD465" s="87"/>
      <c r="AE465" s="87"/>
      <c r="AF465" s="87"/>
      <c r="AG465" s="488"/>
      <c r="AH465" s="489"/>
      <c r="AI465" s="489"/>
      <c r="AJ465" s="96"/>
      <c r="AK465" s="96"/>
      <c r="AL465" s="96"/>
      <c r="AM465" s="96"/>
      <c r="AN465" s="96"/>
      <c r="AO465" s="96"/>
      <c r="AP465" s="96"/>
      <c r="AQ465" s="368"/>
      <c r="AR465" s="368"/>
    </row>
    <row r="466" spans="26:44" x14ac:dyDescent="0.25">
      <c r="Z466" s="96"/>
      <c r="AA466" s="87"/>
      <c r="AB466" s="87"/>
      <c r="AC466" s="87"/>
      <c r="AD466" s="87"/>
      <c r="AE466" s="87"/>
      <c r="AF466" s="87"/>
      <c r="AG466" s="488"/>
      <c r="AH466" s="489"/>
      <c r="AI466" s="489"/>
      <c r="AJ466" s="96"/>
      <c r="AK466" s="96"/>
      <c r="AL466" s="96"/>
      <c r="AM466" s="96"/>
      <c r="AN466" s="96"/>
      <c r="AO466" s="96"/>
      <c r="AP466" s="96"/>
      <c r="AQ466" s="368"/>
      <c r="AR466" s="368"/>
    </row>
    <row r="467" spans="26:44" x14ac:dyDescent="0.25">
      <c r="Z467" s="96"/>
      <c r="AA467" s="87"/>
      <c r="AB467" s="87"/>
      <c r="AC467" s="87"/>
      <c r="AD467" s="87"/>
      <c r="AE467" s="87"/>
      <c r="AF467" s="87"/>
      <c r="AG467" s="488"/>
      <c r="AH467" s="489"/>
      <c r="AI467" s="489"/>
      <c r="AJ467" s="96"/>
      <c r="AK467" s="96"/>
      <c r="AL467" s="96"/>
      <c r="AM467" s="96"/>
      <c r="AN467" s="96"/>
      <c r="AO467" s="96"/>
      <c r="AP467" s="96"/>
      <c r="AQ467" s="368"/>
      <c r="AR467" s="368"/>
    </row>
    <row r="468" spans="26:44" x14ac:dyDescent="0.25">
      <c r="Z468" s="96"/>
      <c r="AA468" s="87"/>
      <c r="AB468" s="87"/>
      <c r="AC468" s="87"/>
      <c r="AD468" s="87"/>
      <c r="AE468" s="87"/>
      <c r="AF468" s="87"/>
      <c r="AG468" s="488"/>
      <c r="AH468" s="489"/>
      <c r="AI468" s="489"/>
      <c r="AJ468" s="96"/>
      <c r="AK468" s="96"/>
      <c r="AL468" s="96"/>
      <c r="AM468" s="96"/>
      <c r="AN468" s="96"/>
      <c r="AO468" s="96"/>
      <c r="AP468" s="96"/>
      <c r="AQ468" s="368"/>
      <c r="AR468" s="368"/>
    </row>
    <row r="469" spans="26:44" x14ac:dyDescent="0.25">
      <c r="Z469" s="96"/>
      <c r="AA469" s="87"/>
      <c r="AB469" s="87"/>
      <c r="AC469" s="87"/>
      <c r="AD469" s="87"/>
      <c r="AE469" s="87"/>
      <c r="AF469" s="87"/>
      <c r="AG469" s="488"/>
      <c r="AH469" s="489"/>
      <c r="AI469" s="489"/>
      <c r="AJ469" s="96"/>
      <c r="AK469" s="96"/>
      <c r="AL469" s="96"/>
      <c r="AM469" s="96"/>
      <c r="AN469" s="96"/>
      <c r="AO469" s="96"/>
      <c r="AP469" s="96"/>
      <c r="AQ469" s="368"/>
      <c r="AR469" s="368"/>
    </row>
    <row r="470" spans="26:44" x14ac:dyDescent="0.25">
      <c r="Z470" s="96"/>
      <c r="AA470" s="87"/>
      <c r="AB470" s="87"/>
      <c r="AC470" s="87"/>
      <c r="AD470" s="87"/>
      <c r="AE470" s="87"/>
      <c r="AF470" s="87"/>
      <c r="AG470" s="488"/>
      <c r="AH470" s="489"/>
      <c r="AI470" s="489"/>
      <c r="AJ470" s="96"/>
      <c r="AK470" s="96"/>
      <c r="AL470" s="96"/>
      <c r="AM470" s="96"/>
      <c r="AN470" s="96"/>
      <c r="AO470" s="96"/>
      <c r="AP470" s="96"/>
      <c r="AQ470" s="368"/>
      <c r="AR470" s="368"/>
    </row>
    <row r="471" spans="26:44" x14ac:dyDescent="0.25">
      <c r="Z471" s="96"/>
      <c r="AA471" s="87"/>
      <c r="AB471" s="87"/>
      <c r="AC471" s="87"/>
      <c r="AD471" s="87"/>
      <c r="AE471" s="87"/>
      <c r="AF471" s="87"/>
      <c r="AG471" s="488"/>
      <c r="AH471" s="489"/>
      <c r="AI471" s="489"/>
      <c r="AJ471" s="96"/>
      <c r="AK471" s="96"/>
      <c r="AL471" s="96"/>
      <c r="AM471" s="96"/>
      <c r="AN471" s="96"/>
      <c r="AO471" s="96"/>
      <c r="AP471" s="96"/>
      <c r="AQ471" s="368"/>
      <c r="AR471" s="368"/>
    </row>
    <row r="472" spans="26:44" x14ac:dyDescent="0.25">
      <c r="Z472" s="96"/>
      <c r="AA472" s="87"/>
      <c r="AB472" s="87"/>
      <c r="AC472" s="87"/>
      <c r="AD472" s="87"/>
      <c r="AE472" s="87"/>
      <c r="AF472" s="87"/>
      <c r="AG472" s="488"/>
      <c r="AH472" s="489"/>
      <c r="AI472" s="489"/>
      <c r="AJ472" s="96"/>
      <c r="AK472" s="96"/>
      <c r="AL472" s="96"/>
      <c r="AM472" s="96"/>
      <c r="AN472" s="96"/>
      <c r="AO472" s="96"/>
      <c r="AP472" s="96"/>
      <c r="AQ472" s="368"/>
      <c r="AR472" s="368"/>
    </row>
    <row r="473" spans="26:44" x14ac:dyDescent="0.25">
      <c r="Z473" s="96"/>
      <c r="AA473" s="87"/>
      <c r="AB473" s="87"/>
      <c r="AC473" s="87"/>
      <c r="AD473" s="87"/>
      <c r="AE473" s="87"/>
      <c r="AF473" s="87"/>
      <c r="AG473" s="488"/>
      <c r="AH473" s="489"/>
      <c r="AI473" s="489"/>
      <c r="AJ473" s="96"/>
      <c r="AK473" s="96"/>
      <c r="AL473" s="96"/>
      <c r="AM473" s="96"/>
      <c r="AN473" s="96"/>
      <c r="AO473" s="96"/>
      <c r="AP473" s="96"/>
      <c r="AQ473" s="368"/>
      <c r="AR473" s="368"/>
    </row>
    <row r="474" spans="26:44" x14ac:dyDescent="0.25">
      <c r="Z474" s="96"/>
      <c r="AA474" s="87"/>
      <c r="AB474" s="87"/>
      <c r="AC474" s="87"/>
      <c r="AD474" s="87"/>
      <c r="AE474" s="87"/>
      <c r="AF474" s="87"/>
      <c r="AG474" s="488"/>
      <c r="AH474" s="489"/>
      <c r="AI474" s="489"/>
      <c r="AJ474" s="96"/>
      <c r="AK474" s="96"/>
      <c r="AL474" s="96"/>
      <c r="AM474" s="96"/>
      <c r="AN474" s="96"/>
      <c r="AO474" s="96"/>
      <c r="AP474" s="96"/>
      <c r="AQ474" s="368"/>
      <c r="AR474" s="368"/>
    </row>
    <row r="475" spans="26:44" x14ac:dyDescent="0.25">
      <c r="Z475" s="96"/>
      <c r="AA475" s="87"/>
      <c r="AB475" s="87"/>
      <c r="AC475" s="87"/>
      <c r="AD475" s="87"/>
      <c r="AE475" s="87"/>
      <c r="AF475" s="87"/>
      <c r="AG475" s="488"/>
      <c r="AH475" s="489"/>
      <c r="AI475" s="489"/>
      <c r="AJ475" s="96"/>
      <c r="AK475" s="96"/>
      <c r="AL475" s="96"/>
      <c r="AM475" s="96"/>
      <c r="AN475" s="96"/>
      <c r="AO475" s="96"/>
      <c r="AP475" s="96"/>
      <c r="AQ475" s="368"/>
      <c r="AR475" s="368"/>
    </row>
    <row r="476" spans="26:44" x14ac:dyDescent="0.25">
      <c r="Z476" s="96"/>
      <c r="AA476" s="87"/>
      <c r="AB476" s="87"/>
      <c r="AC476" s="87"/>
      <c r="AD476" s="87"/>
      <c r="AE476" s="87"/>
      <c r="AF476" s="87"/>
      <c r="AG476" s="488"/>
      <c r="AH476" s="489"/>
      <c r="AI476" s="489"/>
      <c r="AJ476" s="96"/>
      <c r="AK476" s="96"/>
      <c r="AL476" s="96"/>
      <c r="AM476" s="96"/>
      <c r="AN476" s="96"/>
      <c r="AO476" s="96"/>
      <c r="AP476" s="96"/>
      <c r="AQ476" s="368"/>
      <c r="AR476" s="368"/>
    </row>
    <row r="477" spans="26:44" x14ac:dyDescent="0.25">
      <c r="Z477" s="96"/>
      <c r="AA477" s="87"/>
      <c r="AB477" s="87"/>
      <c r="AC477" s="87"/>
      <c r="AD477" s="87"/>
      <c r="AE477" s="87"/>
      <c r="AF477" s="87"/>
      <c r="AG477" s="488"/>
      <c r="AH477" s="489"/>
      <c r="AI477" s="489"/>
      <c r="AJ477" s="96"/>
      <c r="AK477" s="96"/>
      <c r="AL477" s="96"/>
      <c r="AM477" s="96"/>
      <c r="AN477" s="96"/>
      <c r="AO477" s="96"/>
      <c r="AP477" s="96"/>
      <c r="AQ477" s="368"/>
      <c r="AR477" s="368"/>
    </row>
    <row r="478" spans="26:44" x14ac:dyDescent="0.25">
      <c r="Z478" s="96"/>
      <c r="AA478" s="87"/>
      <c r="AB478" s="87"/>
      <c r="AC478" s="87"/>
      <c r="AD478" s="87"/>
      <c r="AE478" s="87"/>
      <c r="AF478" s="87"/>
      <c r="AG478" s="488"/>
      <c r="AH478" s="489"/>
      <c r="AI478" s="489"/>
      <c r="AJ478" s="96"/>
      <c r="AK478" s="96"/>
      <c r="AL478" s="96"/>
      <c r="AM478" s="96"/>
      <c r="AN478" s="96"/>
      <c r="AO478" s="96"/>
      <c r="AP478" s="96"/>
      <c r="AQ478" s="368"/>
      <c r="AR478" s="368"/>
    </row>
    <row r="479" spans="26:44" x14ac:dyDescent="0.25">
      <c r="Z479" s="96"/>
      <c r="AA479" s="87"/>
      <c r="AB479" s="87"/>
      <c r="AC479" s="87"/>
      <c r="AD479" s="87"/>
      <c r="AE479" s="87"/>
      <c r="AF479" s="87"/>
      <c r="AG479" s="488"/>
      <c r="AH479" s="489"/>
      <c r="AI479" s="489"/>
      <c r="AJ479" s="96"/>
      <c r="AK479" s="96"/>
      <c r="AL479" s="96"/>
      <c r="AM479" s="96"/>
      <c r="AN479" s="96"/>
      <c r="AO479" s="96"/>
      <c r="AP479" s="96"/>
      <c r="AQ479" s="368"/>
      <c r="AR479" s="368"/>
    </row>
    <row r="480" spans="26:44" x14ac:dyDescent="0.25">
      <c r="Z480" s="96"/>
      <c r="AA480" s="87"/>
      <c r="AB480" s="87"/>
      <c r="AC480" s="87"/>
      <c r="AD480" s="87"/>
      <c r="AE480" s="87"/>
      <c r="AF480" s="87"/>
      <c r="AG480" s="488"/>
      <c r="AH480" s="489"/>
      <c r="AI480" s="489"/>
      <c r="AJ480" s="96"/>
      <c r="AK480" s="96"/>
      <c r="AL480" s="96"/>
      <c r="AM480" s="96"/>
      <c r="AN480" s="96"/>
      <c r="AO480" s="96"/>
      <c r="AP480" s="96"/>
      <c r="AQ480" s="368"/>
      <c r="AR480" s="368"/>
    </row>
    <row r="481" spans="26:44" x14ac:dyDescent="0.25">
      <c r="Z481" s="96"/>
      <c r="AA481" s="87"/>
      <c r="AB481" s="87"/>
      <c r="AC481" s="87"/>
      <c r="AD481" s="87"/>
      <c r="AE481" s="87"/>
      <c r="AF481" s="87"/>
      <c r="AG481" s="488"/>
      <c r="AH481" s="489"/>
      <c r="AI481" s="489"/>
      <c r="AJ481" s="96"/>
      <c r="AK481" s="96"/>
      <c r="AL481" s="96"/>
      <c r="AM481" s="96"/>
      <c r="AN481" s="96"/>
      <c r="AO481" s="96"/>
      <c r="AP481" s="96"/>
      <c r="AQ481" s="368"/>
      <c r="AR481" s="368"/>
    </row>
    <row r="482" spans="26:44" x14ac:dyDescent="0.25">
      <c r="Z482" s="96"/>
      <c r="AA482" s="87"/>
      <c r="AB482" s="87"/>
      <c r="AC482" s="87"/>
      <c r="AD482" s="87"/>
      <c r="AE482" s="87"/>
      <c r="AF482" s="87"/>
      <c r="AG482" s="488"/>
      <c r="AH482" s="489"/>
      <c r="AI482" s="489"/>
      <c r="AJ482" s="96"/>
      <c r="AK482" s="96"/>
      <c r="AL482" s="96"/>
      <c r="AM482" s="96"/>
      <c r="AN482" s="96"/>
      <c r="AO482" s="96"/>
      <c r="AP482" s="96"/>
      <c r="AQ482" s="368"/>
      <c r="AR482" s="368"/>
    </row>
    <row r="483" spans="26:44" x14ac:dyDescent="0.25">
      <c r="Z483" s="96"/>
      <c r="AA483" s="87"/>
      <c r="AB483" s="87"/>
      <c r="AC483" s="87"/>
      <c r="AD483" s="87"/>
      <c r="AE483" s="87"/>
      <c r="AF483" s="87"/>
      <c r="AG483" s="488"/>
      <c r="AH483" s="489"/>
      <c r="AI483" s="489"/>
      <c r="AJ483" s="96"/>
      <c r="AK483" s="96"/>
      <c r="AL483" s="96"/>
      <c r="AM483" s="96"/>
      <c r="AN483" s="96"/>
      <c r="AO483" s="96"/>
      <c r="AP483" s="96"/>
      <c r="AQ483" s="368"/>
      <c r="AR483" s="368"/>
    </row>
    <row r="484" spans="26:44" x14ac:dyDescent="0.25">
      <c r="Z484" s="96"/>
      <c r="AA484" s="87"/>
      <c r="AB484" s="87"/>
      <c r="AC484" s="87"/>
      <c r="AD484" s="87"/>
      <c r="AE484" s="87"/>
      <c r="AF484" s="87"/>
      <c r="AG484" s="488"/>
      <c r="AH484" s="489"/>
      <c r="AI484" s="489"/>
      <c r="AJ484" s="96"/>
      <c r="AK484" s="96"/>
      <c r="AL484" s="96"/>
      <c r="AM484" s="96"/>
      <c r="AN484" s="96"/>
      <c r="AO484" s="96"/>
      <c r="AP484" s="96"/>
      <c r="AQ484" s="368"/>
      <c r="AR484" s="368"/>
    </row>
    <row r="485" spans="26:44" x14ac:dyDescent="0.25">
      <c r="Z485" s="96"/>
      <c r="AA485" s="87"/>
      <c r="AB485" s="87"/>
      <c r="AC485" s="87"/>
      <c r="AD485" s="87"/>
      <c r="AE485" s="87"/>
      <c r="AF485" s="87"/>
      <c r="AG485" s="488"/>
      <c r="AH485" s="489"/>
      <c r="AI485" s="489"/>
      <c r="AJ485" s="96"/>
      <c r="AK485" s="96"/>
      <c r="AL485" s="96"/>
      <c r="AM485" s="96"/>
      <c r="AN485" s="96"/>
      <c r="AO485" s="96"/>
      <c r="AP485" s="96"/>
      <c r="AQ485" s="368"/>
      <c r="AR485" s="368"/>
    </row>
    <row r="486" spans="26:44" x14ac:dyDescent="0.25">
      <c r="Z486" s="96"/>
      <c r="AA486" s="87"/>
      <c r="AB486" s="87"/>
      <c r="AC486" s="87"/>
      <c r="AD486" s="87"/>
      <c r="AE486" s="87"/>
      <c r="AF486" s="87"/>
      <c r="AG486" s="488"/>
      <c r="AH486" s="489"/>
      <c r="AI486" s="489"/>
      <c r="AJ486" s="96"/>
      <c r="AK486" s="96"/>
      <c r="AL486" s="96"/>
      <c r="AM486" s="96"/>
      <c r="AN486" s="96"/>
      <c r="AO486" s="96"/>
      <c r="AP486" s="96"/>
      <c r="AQ486" s="368"/>
      <c r="AR486" s="368"/>
    </row>
    <row r="487" spans="26:44" x14ac:dyDescent="0.25">
      <c r="Z487" s="96"/>
      <c r="AA487" s="87"/>
      <c r="AB487" s="87"/>
      <c r="AC487" s="87"/>
      <c r="AD487" s="87"/>
      <c r="AE487" s="87"/>
      <c r="AF487" s="87"/>
      <c r="AG487" s="488"/>
      <c r="AH487" s="489"/>
      <c r="AI487" s="489"/>
      <c r="AJ487" s="96"/>
      <c r="AK487" s="96"/>
      <c r="AL487" s="96"/>
      <c r="AM487" s="96"/>
      <c r="AN487" s="96"/>
      <c r="AO487" s="96"/>
      <c r="AP487" s="96"/>
      <c r="AQ487" s="368"/>
      <c r="AR487" s="368"/>
    </row>
    <row r="488" spans="26:44" x14ac:dyDescent="0.25">
      <c r="Z488" s="96"/>
      <c r="AA488" s="87"/>
      <c r="AB488" s="87"/>
      <c r="AC488" s="87"/>
      <c r="AD488" s="87"/>
      <c r="AE488" s="87"/>
      <c r="AF488" s="87"/>
      <c r="AG488" s="488"/>
      <c r="AH488" s="489"/>
      <c r="AI488" s="489"/>
      <c r="AJ488" s="96"/>
      <c r="AK488" s="96"/>
      <c r="AL488" s="96"/>
      <c r="AM488" s="96"/>
      <c r="AN488" s="96"/>
      <c r="AO488" s="96"/>
      <c r="AP488" s="96"/>
      <c r="AQ488" s="368"/>
      <c r="AR488" s="368"/>
    </row>
    <row r="489" spans="26:44" x14ac:dyDescent="0.25">
      <c r="Z489" s="96"/>
      <c r="AA489" s="87"/>
      <c r="AB489" s="87"/>
      <c r="AC489" s="87"/>
      <c r="AD489" s="87"/>
      <c r="AE489" s="87"/>
      <c r="AF489" s="87"/>
      <c r="AG489" s="488"/>
      <c r="AH489" s="489"/>
      <c r="AI489" s="489"/>
      <c r="AJ489" s="96"/>
      <c r="AK489" s="96"/>
      <c r="AL489" s="96"/>
      <c r="AM489" s="96"/>
      <c r="AN489" s="96"/>
      <c r="AO489" s="96"/>
      <c r="AP489" s="96"/>
      <c r="AQ489" s="368"/>
      <c r="AR489" s="368"/>
    </row>
    <row r="490" spans="26:44" x14ac:dyDescent="0.25">
      <c r="Z490" s="96"/>
      <c r="AA490" s="87"/>
      <c r="AB490" s="87"/>
      <c r="AC490" s="87"/>
      <c r="AD490" s="87"/>
      <c r="AE490" s="87"/>
      <c r="AF490" s="87"/>
      <c r="AG490" s="488"/>
      <c r="AH490" s="489"/>
      <c r="AI490" s="489"/>
      <c r="AJ490" s="96"/>
      <c r="AK490" s="96"/>
      <c r="AL490" s="96"/>
      <c r="AM490" s="96"/>
      <c r="AN490" s="96"/>
      <c r="AO490" s="96"/>
      <c r="AP490" s="96"/>
      <c r="AQ490" s="368"/>
      <c r="AR490" s="368"/>
    </row>
    <row r="491" spans="26:44" x14ac:dyDescent="0.25">
      <c r="Z491" s="96"/>
      <c r="AA491" s="87"/>
      <c r="AB491" s="87"/>
      <c r="AC491" s="87"/>
      <c r="AD491" s="87"/>
      <c r="AE491" s="87"/>
      <c r="AF491" s="87"/>
      <c r="AG491" s="488"/>
      <c r="AH491" s="489"/>
      <c r="AI491" s="489"/>
      <c r="AJ491" s="96"/>
      <c r="AK491" s="96"/>
      <c r="AL491" s="96"/>
      <c r="AM491" s="96"/>
      <c r="AN491" s="96"/>
      <c r="AO491" s="96"/>
      <c r="AP491" s="96"/>
      <c r="AQ491" s="368"/>
      <c r="AR491" s="368"/>
    </row>
    <row r="492" spans="26:44" x14ac:dyDescent="0.25">
      <c r="Z492" s="96"/>
      <c r="AA492" s="87"/>
      <c r="AB492" s="87"/>
      <c r="AC492" s="87"/>
      <c r="AD492" s="87"/>
      <c r="AE492" s="87"/>
      <c r="AF492" s="87"/>
      <c r="AG492" s="488"/>
      <c r="AH492" s="489"/>
      <c r="AI492" s="489"/>
      <c r="AJ492" s="96"/>
      <c r="AK492" s="96"/>
      <c r="AL492" s="96"/>
      <c r="AM492" s="96"/>
      <c r="AN492" s="96"/>
      <c r="AO492" s="96"/>
      <c r="AP492" s="96"/>
      <c r="AQ492" s="368"/>
      <c r="AR492" s="368"/>
    </row>
    <row r="493" spans="26:44" x14ac:dyDescent="0.25">
      <c r="Z493" s="96"/>
      <c r="AA493" s="87"/>
      <c r="AB493" s="87"/>
      <c r="AC493" s="87"/>
      <c r="AD493" s="87"/>
      <c r="AE493" s="87"/>
      <c r="AF493" s="87"/>
      <c r="AG493" s="488"/>
      <c r="AH493" s="489"/>
      <c r="AI493" s="489"/>
      <c r="AJ493" s="96"/>
      <c r="AK493" s="96"/>
      <c r="AL493" s="96"/>
      <c r="AM493" s="96"/>
      <c r="AN493" s="96"/>
      <c r="AO493" s="96"/>
      <c r="AP493" s="96"/>
      <c r="AQ493" s="368"/>
      <c r="AR493" s="368"/>
    </row>
    <row r="494" spans="26:44" x14ac:dyDescent="0.25">
      <c r="Z494" s="96"/>
      <c r="AA494" s="87"/>
      <c r="AB494" s="87"/>
      <c r="AC494" s="87"/>
      <c r="AD494" s="87"/>
      <c r="AE494" s="87"/>
      <c r="AF494" s="87"/>
      <c r="AG494" s="488"/>
      <c r="AH494" s="489"/>
      <c r="AI494" s="489"/>
      <c r="AJ494" s="96"/>
      <c r="AK494" s="96"/>
      <c r="AL494" s="96"/>
      <c r="AM494" s="96"/>
      <c r="AN494" s="96"/>
      <c r="AO494" s="96"/>
      <c r="AP494" s="96"/>
      <c r="AQ494" s="368"/>
      <c r="AR494" s="368"/>
    </row>
    <row r="495" spans="26:44" x14ac:dyDescent="0.25">
      <c r="Z495" s="96"/>
      <c r="AA495" s="87"/>
      <c r="AB495" s="87"/>
      <c r="AC495" s="87"/>
      <c r="AD495" s="87"/>
      <c r="AE495" s="87"/>
      <c r="AF495" s="87"/>
      <c r="AG495" s="488"/>
      <c r="AH495" s="489"/>
      <c r="AI495" s="489"/>
      <c r="AJ495" s="96"/>
      <c r="AK495" s="96"/>
      <c r="AL495" s="96"/>
      <c r="AM495" s="96"/>
      <c r="AN495" s="96"/>
      <c r="AO495" s="96"/>
      <c r="AP495" s="96"/>
      <c r="AQ495" s="368"/>
      <c r="AR495" s="368"/>
    </row>
    <row r="496" spans="26:44" x14ac:dyDescent="0.25">
      <c r="Z496" s="96"/>
      <c r="AA496" s="87"/>
      <c r="AB496" s="87"/>
      <c r="AC496" s="87"/>
      <c r="AD496" s="87"/>
      <c r="AE496" s="87"/>
      <c r="AF496" s="87"/>
      <c r="AG496" s="488"/>
      <c r="AH496" s="489"/>
      <c r="AI496" s="489"/>
      <c r="AJ496" s="96"/>
      <c r="AK496" s="96"/>
      <c r="AL496" s="96"/>
      <c r="AM496" s="96"/>
      <c r="AN496" s="96"/>
      <c r="AO496" s="96"/>
      <c r="AP496" s="96"/>
      <c r="AQ496" s="368"/>
      <c r="AR496" s="368"/>
    </row>
    <row r="497" spans="26:44" x14ac:dyDescent="0.25">
      <c r="Z497" s="96"/>
      <c r="AA497" s="87"/>
      <c r="AB497" s="87"/>
      <c r="AC497" s="87"/>
      <c r="AD497" s="87"/>
      <c r="AE497" s="87"/>
      <c r="AF497" s="87"/>
      <c r="AG497" s="488"/>
      <c r="AH497" s="489"/>
      <c r="AI497" s="489"/>
      <c r="AJ497" s="96"/>
      <c r="AK497" s="96"/>
      <c r="AL497" s="96"/>
      <c r="AM497" s="96"/>
      <c r="AN497" s="96"/>
      <c r="AO497" s="96"/>
      <c r="AP497" s="96"/>
      <c r="AQ497" s="368"/>
      <c r="AR497" s="368"/>
    </row>
    <row r="498" spans="26:44" x14ac:dyDescent="0.25">
      <c r="Z498" s="96"/>
      <c r="AA498" s="87"/>
      <c r="AB498" s="87"/>
      <c r="AC498" s="87"/>
      <c r="AD498" s="87"/>
      <c r="AE498" s="87"/>
      <c r="AF498" s="87"/>
      <c r="AG498" s="488"/>
      <c r="AH498" s="489"/>
      <c r="AI498" s="489"/>
      <c r="AJ498" s="96"/>
      <c r="AK498" s="96"/>
      <c r="AL498" s="96"/>
      <c r="AM498" s="96"/>
      <c r="AN498" s="96"/>
      <c r="AO498" s="96"/>
      <c r="AP498" s="96"/>
      <c r="AQ498" s="368"/>
      <c r="AR498" s="368"/>
    </row>
    <row r="499" spans="26:44" x14ac:dyDescent="0.25">
      <c r="Z499" s="96"/>
      <c r="AA499" s="87"/>
      <c r="AB499" s="87"/>
      <c r="AC499" s="87"/>
      <c r="AD499" s="87"/>
      <c r="AE499" s="87"/>
      <c r="AF499" s="87"/>
      <c r="AG499" s="488"/>
      <c r="AH499" s="489"/>
      <c r="AI499" s="489"/>
      <c r="AJ499" s="96"/>
      <c r="AK499" s="96"/>
      <c r="AL499" s="96"/>
      <c r="AM499" s="96"/>
      <c r="AN499" s="96"/>
      <c r="AO499" s="96"/>
      <c r="AP499" s="96"/>
      <c r="AQ499" s="368"/>
      <c r="AR499" s="368"/>
    </row>
    <row r="500" spans="26:44" x14ac:dyDescent="0.25">
      <c r="Z500" s="96"/>
      <c r="AA500" s="87"/>
      <c r="AB500" s="87"/>
      <c r="AC500" s="87"/>
      <c r="AD500" s="87"/>
      <c r="AE500" s="87"/>
      <c r="AF500" s="87"/>
      <c r="AG500" s="488"/>
      <c r="AH500" s="489"/>
      <c r="AI500" s="489"/>
      <c r="AJ500" s="96"/>
      <c r="AK500" s="96"/>
      <c r="AL500" s="96"/>
      <c r="AM500" s="96"/>
      <c r="AN500" s="96"/>
      <c r="AO500" s="96"/>
      <c r="AP500" s="96"/>
      <c r="AQ500" s="368"/>
      <c r="AR500" s="368"/>
    </row>
    <row r="501" spans="26:44" x14ac:dyDescent="0.25">
      <c r="Z501" s="96"/>
      <c r="AA501" s="87"/>
      <c r="AB501" s="87"/>
      <c r="AC501" s="87"/>
      <c r="AD501" s="87"/>
      <c r="AE501" s="87"/>
      <c r="AF501" s="87"/>
      <c r="AG501" s="488"/>
      <c r="AH501" s="489"/>
      <c r="AI501" s="489"/>
      <c r="AJ501" s="96"/>
      <c r="AK501" s="96"/>
      <c r="AL501" s="96"/>
      <c r="AM501" s="96"/>
      <c r="AN501" s="96"/>
      <c r="AO501" s="96"/>
      <c r="AP501" s="96"/>
      <c r="AQ501" s="368"/>
      <c r="AR501" s="368"/>
    </row>
    <row r="502" spans="26:44" x14ac:dyDescent="0.25">
      <c r="Z502" s="96"/>
      <c r="AA502" s="87"/>
      <c r="AB502" s="87"/>
      <c r="AC502" s="87"/>
      <c r="AD502" s="87"/>
      <c r="AE502" s="87"/>
      <c r="AF502" s="87"/>
      <c r="AG502" s="488"/>
      <c r="AH502" s="489"/>
      <c r="AI502" s="489"/>
      <c r="AJ502" s="96"/>
      <c r="AK502" s="96"/>
      <c r="AL502" s="96"/>
      <c r="AM502" s="96"/>
      <c r="AN502" s="96"/>
      <c r="AO502" s="96"/>
      <c r="AP502" s="96"/>
      <c r="AQ502" s="368"/>
      <c r="AR502" s="368"/>
    </row>
    <row r="503" spans="26:44" x14ac:dyDescent="0.25">
      <c r="Z503" s="96"/>
      <c r="AA503" s="87"/>
      <c r="AB503" s="87"/>
      <c r="AC503" s="87"/>
      <c r="AD503" s="87"/>
      <c r="AE503" s="87"/>
      <c r="AF503" s="87"/>
      <c r="AG503" s="488"/>
      <c r="AH503" s="489"/>
      <c r="AI503" s="489"/>
      <c r="AJ503" s="96"/>
      <c r="AK503" s="96"/>
      <c r="AL503" s="96"/>
      <c r="AM503" s="96"/>
      <c r="AN503" s="96"/>
      <c r="AO503" s="96"/>
      <c r="AP503" s="96"/>
      <c r="AQ503" s="368"/>
      <c r="AR503" s="368"/>
    </row>
    <row r="504" spans="26:44" x14ac:dyDescent="0.25">
      <c r="Z504" s="96"/>
      <c r="AA504" s="87"/>
      <c r="AB504" s="87"/>
      <c r="AC504" s="87"/>
      <c r="AD504" s="87"/>
      <c r="AE504" s="87"/>
      <c r="AF504" s="87"/>
      <c r="AG504" s="488"/>
      <c r="AH504" s="489"/>
      <c r="AI504" s="489"/>
      <c r="AJ504" s="96"/>
      <c r="AK504" s="96"/>
      <c r="AL504" s="96"/>
      <c r="AM504" s="96"/>
      <c r="AN504" s="96"/>
      <c r="AO504" s="96"/>
      <c r="AP504" s="96"/>
      <c r="AQ504" s="368"/>
      <c r="AR504" s="368"/>
    </row>
    <row r="505" spans="26:44" x14ac:dyDescent="0.25">
      <c r="Z505" s="96"/>
      <c r="AA505" s="87"/>
      <c r="AB505" s="87"/>
      <c r="AC505" s="87"/>
      <c r="AD505" s="87"/>
      <c r="AE505" s="87"/>
      <c r="AF505" s="87"/>
      <c r="AG505" s="488"/>
      <c r="AH505" s="489"/>
      <c r="AI505" s="489"/>
      <c r="AJ505" s="96"/>
      <c r="AK505" s="96"/>
      <c r="AL505" s="96"/>
      <c r="AM505" s="96"/>
      <c r="AN505" s="96"/>
      <c r="AO505" s="96"/>
      <c r="AP505" s="96"/>
      <c r="AQ505" s="368"/>
      <c r="AR505" s="368"/>
    </row>
    <row r="506" spans="26:44" x14ac:dyDescent="0.25">
      <c r="Z506" s="96"/>
      <c r="AA506" s="87"/>
      <c r="AB506" s="87"/>
      <c r="AC506" s="87"/>
      <c r="AD506" s="87"/>
      <c r="AE506" s="87"/>
      <c r="AF506" s="87"/>
      <c r="AG506" s="488"/>
      <c r="AH506" s="489"/>
      <c r="AI506" s="489"/>
      <c r="AJ506" s="96"/>
      <c r="AK506" s="96"/>
      <c r="AL506" s="96"/>
      <c r="AM506" s="96"/>
      <c r="AN506" s="96"/>
      <c r="AO506" s="96"/>
      <c r="AP506" s="96"/>
      <c r="AQ506" s="368"/>
      <c r="AR506" s="368"/>
    </row>
    <row r="507" spans="26:44" x14ac:dyDescent="0.25">
      <c r="Z507" s="96"/>
      <c r="AA507" s="87"/>
      <c r="AB507" s="87"/>
      <c r="AC507" s="87"/>
      <c r="AD507" s="87"/>
      <c r="AE507" s="87"/>
      <c r="AF507" s="87"/>
      <c r="AG507" s="488"/>
      <c r="AH507" s="489"/>
      <c r="AI507" s="489"/>
      <c r="AJ507" s="96"/>
      <c r="AK507" s="96"/>
      <c r="AL507" s="96"/>
      <c r="AM507" s="96"/>
      <c r="AN507" s="96"/>
      <c r="AO507" s="96"/>
      <c r="AP507" s="96"/>
      <c r="AQ507" s="368"/>
      <c r="AR507" s="368"/>
    </row>
    <row r="508" spans="26:44" x14ac:dyDescent="0.25">
      <c r="Z508" s="96"/>
      <c r="AA508" s="87"/>
      <c r="AB508" s="87"/>
      <c r="AC508" s="87"/>
      <c r="AD508" s="87"/>
      <c r="AE508" s="87"/>
      <c r="AF508" s="87"/>
      <c r="AG508" s="488"/>
      <c r="AH508" s="489"/>
      <c r="AI508" s="489"/>
      <c r="AJ508" s="96"/>
      <c r="AK508" s="96"/>
      <c r="AL508" s="96"/>
      <c r="AM508" s="96"/>
      <c r="AN508" s="96"/>
      <c r="AO508" s="96"/>
      <c r="AP508" s="96"/>
      <c r="AQ508" s="368"/>
      <c r="AR508" s="368"/>
    </row>
    <row r="509" spans="26:44" x14ac:dyDescent="0.25">
      <c r="Z509" s="96"/>
      <c r="AA509" s="87"/>
      <c r="AB509" s="87"/>
      <c r="AC509" s="87"/>
      <c r="AD509" s="87"/>
      <c r="AE509" s="87"/>
      <c r="AF509" s="87"/>
      <c r="AG509" s="488"/>
      <c r="AH509" s="489"/>
      <c r="AI509" s="489"/>
      <c r="AJ509" s="96"/>
      <c r="AK509" s="96"/>
      <c r="AL509" s="96"/>
      <c r="AM509" s="96"/>
      <c r="AN509" s="96"/>
      <c r="AO509" s="96"/>
      <c r="AP509" s="96"/>
      <c r="AQ509" s="368"/>
      <c r="AR509" s="368"/>
    </row>
    <row r="510" spans="26:44" x14ac:dyDescent="0.25">
      <c r="Z510" s="96"/>
      <c r="AA510" s="87"/>
      <c r="AB510" s="87"/>
      <c r="AC510" s="87"/>
      <c r="AD510" s="87"/>
      <c r="AE510" s="87"/>
      <c r="AF510" s="87"/>
      <c r="AG510" s="488"/>
      <c r="AH510" s="489"/>
      <c r="AI510" s="489"/>
      <c r="AJ510" s="96"/>
      <c r="AK510" s="96"/>
      <c r="AL510" s="96"/>
      <c r="AM510" s="96"/>
      <c r="AN510" s="96"/>
      <c r="AO510" s="96"/>
      <c r="AP510" s="96"/>
      <c r="AQ510" s="368"/>
      <c r="AR510" s="368"/>
    </row>
    <row r="511" spans="26:44" x14ac:dyDescent="0.25">
      <c r="Z511" s="96"/>
      <c r="AA511" s="87"/>
      <c r="AB511" s="87"/>
      <c r="AC511" s="87"/>
      <c r="AD511" s="87"/>
      <c r="AE511" s="87"/>
      <c r="AF511" s="87"/>
      <c r="AG511" s="488"/>
      <c r="AH511" s="489"/>
      <c r="AI511" s="489"/>
      <c r="AJ511" s="96"/>
      <c r="AK511" s="96"/>
      <c r="AL511" s="96"/>
      <c r="AM511" s="96"/>
      <c r="AN511" s="96"/>
      <c r="AO511" s="96"/>
      <c r="AP511" s="96"/>
      <c r="AQ511" s="368"/>
      <c r="AR511" s="368"/>
    </row>
    <row r="512" spans="26:44" x14ac:dyDescent="0.25">
      <c r="Z512" s="96"/>
      <c r="AA512" s="87"/>
      <c r="AB512" s="87"/>
      <c r="AC512" s="87"/>
      <c r="AD512" s="87"/>
      <c r="AE512" s="87"/>
      <c r="AF512" s="87"/>
      <c r="AG512" s="488"/>
      <c r="AH512" s="489"/>
      <c r="AI512" s="489"/>
      <c r="AJ512" s="96"/>
      <c r="AK512" s="96"/>
      <c r="AL512" s="96"/>
      <c r="AM512" s="96"/>
      <c r="AN512" s="96"/>
      <c r="AO512" s="96"/>
      <c r="AP512" s="96"/>
      <c r="AQ512" s="368"/>
      <c r="AR512" s="368"/>
    </row>
    <row r="513" spans="26:62" x14ac:dyDescent="0.25">
      <c r="Z513" s="96"/>
      <c r="AA513" s="87"/>
      <c r="AB513" s="87"/>
      <c r="AC513" s="87"/>
      <c r="AD513" s="87"/>
      <c r="AE513" s="87"/>
      <c r="AF513" s="87"/>
      <c r="AG513" s="488"/>
      <c r="AH513" s="489"/>
      <c r="AI513" s="489"/>
      <c r="AJ513" s="96"/>
      <c r="AK513" s="96"/>
      <c r="AL513" s="96"/>
      <c r="AM513" s="96"/>
      <c r="AN513" s="96"/>
      <c r="AO513" s="96"/>
      <c r="AP513" s="96"/>
      <c r="AQ513" s="368"/>
      <c r="AR513" s="368"/>
    </row>
    <row r="514" spans="26:62" x14ac:dyDescent="0.25">
      <c r="Z514" s="96"/>
      <c r="AA514" s="87"/>
      <c r="AB514" s="87"/>
      <c r="AC514" s="87"/>
      <c r="AD514" s="87"/>
      <c r="AE514" s="87"/>
      <c r="AF514" s="87"/>
      <c r="AG514" s="488"/>
      <c r="AH514" s="489"/>
      <c r="AI514" s="489"/>
      <c r="AJ514" s="96"/>
      <c r="AK514" s="96"/>
      <c r="AL514" s="96"/>
      <c r="AM514" s="96"/>
      <c r="AN514" s="96"/>
      <c r="AO514" s="96"/>
      <c r="AP514" s="96"/>
      <c r="AQ514" s="368"/>
      <c r="AR514" s="368"/>
    </row>
    <row r="515" spans="26:62" x14ac:dyDescent="0.25">
      <c r="Z515" s="96"/>
      <c r="AA515" s="87" t="s">
        <v>1161</v>
      </c>
      <c r="AB515" s="87"/>
      <c r="AC515" s="87"/>
      <c r="AD515" s="87"/>
      <c r="AE515" s="87"/>
      <c r="AF515" s="87"/>
      <c r="AG515" s="87"/>
      <c r="AH515" s="87"/>
      <c r="AI515" s="489" t="s">
        <v>1156</v>
      </c>
      <c r="AJ515" s="96"/>
      <c r="AK515" s="96"/>
      <c r="AL515" s="96"/>
      <c r="AM515" s="96"/>
      <c r="AN515" s="96"/>
      <c r="AO515" s="96"/>
      <c r="AP515" s="96"/>
      <c r="AQ515" s="368"/>
      <c r="AR515" s="368"/>
      <c r="BA515" s="1" t="s">
        <v>671</v>
      </c>
      <c r="BI515" s="1" t="s">
        <v>670</v>
      </c>
    </row>
    <row r="516" spans="26:62" x14ac:dyDescent="0.25">
      <c r="Z516" s="96"/>
      <c r="AA516" s="87"/>
      <c r="AB516" s="87"/>
      <c r="AC516" s="87"/>
      <c r="AD516" s="87"/>
      <c r="AE516" s="87"/>
      <c r="AF516" s="87"/>
      <c r="AG516" s="87"/>
      <c r="AH516" s="87"/>
      <c r="AI516" s="489"/>
      <c r="AJ516" s="96"/>
      <c r="AK516" s="96"/>
      <c r="AL516" s="96"/>
      <c r="AM516" s="96"/>
      <c r="AN516" s="96"/>
      <c r="AO516" s="96"/>
      <c r="AP516" s="96"/>
      <c r="AQ516" s="368"/>
      <c r="AR516" s="368"/>
    </row>
    <row r="517" spans="26:62" ht="27" customHeight="1" x14ac:dyDescent="0.25">
      <c r="Z517" s="96"/>
      <c r="AA517" s="957" t="s">
        <v>1418</v>
      </c>
      <c r="AB517" s="957"/>
      <c r="AC517" s="957"/>
      <c r="AD517" s="87"/>
      <c r="AE517" s="87"/>
      <c r="AF517" s="87"/>
      <c r="AG517" s="87"/>
      <c r="AH517" s="87"/>
      <c r="AI517" s="87"/>
      <c r="AJ517" s="96"/>
      <c r="AK517" s="96"/>
      <c r="AL517" s="96"/>
      <c r="AM517" s="96"/>
      <c r="AN517" s="96"/>
      <c r="AO517" s="96"/>
      <c r="AP517" s="96"/>
      <c r="AQ517" s="368"/>
      <c r="AR517" s="368"/>
      <c r="BA517" s="1000" t="s">
        <v>1417</v>
      </c>
      <c r="BB517" s="1000"/>
      <c r="BC517" s="1000"/>
      <c r="BD517" s="1000"/>
      <c r="BE517" s="1000"/>
      <c r="BF517" s="1000"/>
      <c r="BG517" s="1000"/>
      <c r="BH517" s="1000"/>
      <c r="BI517" s="1000"/>
    </row>
    <row r="518" spans="26:62" ht="14.4" x14ac:dyDescent="0.3">
      <c r="Z518" s="96"/>
      <c r="AA518" s="775" t="s">
        <v>1348</v>
      </c>
      <c r="AB518" s="87"/>
      <c r="AC518" s="87"/>
      <c r="AD518" s="87"/>
      <c r="AE518" s="87"/>
      <c r="AF518" s="87"/>
      <c r="AG518" s="87"/>
      <c r="AH518" s="87"/>
      <c r="AI518" s="87"/>
      <c r="AJ518" s="96"/>
      <c r="AK518" s="96"/>
      <c r="AL518" s="96"/>
      <c r="AM518" s="96"/>
      <c r="AN518" s="96"/>
      <c r="AO518" s="96"/>
      <c r="AP518" s="96"/>
      <c r="AQ518" s="368"/>
      <c r="AR518" s="368"/>
      <c r="BA518" s="1" t="s">
        <v>1357</v>
      </c>
    </row>
    <row r="519" spans="26:62" x14ac:dyDescent="0.25">
      <c r="Z519" s="96"/>
      <c r="AA519" s="87" t="s">
        <v>738</v>
      </c>
      <c r="AB519" s="87"/>
      <c r="AC519" s="87"/>
      <c r="AE519" s="87" t="s">
        <v>1397</v>
      </c>
      <c r="AF519" s="87"/>
      <c r="AG519" s="87"/>
      <c r="AH519" s="87"/>
      <c r="AI519" s="96"/>
      <c r="AJ519" s="96"/>
      <c r="AL519" s="96"/>
      <c r="AM519" s="96"/>
      <c r="AN519" s="96"/>
      <c r="AO519" s="96"/>
      <c r="AP519" s="96"/>
      <c r="AQ519" s="368"/>
      <c r="AR519" s="368"/>
      <c r="BA519" s="1" t="s">
        <v>1207</v>
      </c>
      <c r="BE519" s="1" t="s">
        <v>1398</v>
      </c>
    </row>
    <row r="520" spans="26:62" x14ac:dyDescent="0.25">
      <c r="Z520" s="96"/>
      <c r="AA520" s="87" t="s">
        <v>1393</v>
      </c>
      <c r="AB520" s="87"/>
      <c r="AC520" s="87"/>
      <c r="AD520" s="87"/>
      <c r="AE520" s="369" t="s">
        <v>39</v>
      </c>
      <c r="AF520" s="369" t="s">
        <v>40</v>
      </c>
      <c r="AG520" s="369" t="s">
        <v>784</v>
      </c>
      <c r="AH520" s="369" t="s">
        <v>1040</v>
      </c>
      <c r="AI520" s="96" t="s">
        <v>21</v>
      </c>
      <c r="AJ520" s="96" t="s">
        <v>1404</v>
      </c>
      <c r="AL520" s="96"/>
      <c r="AM520" s="96"/>
      <c r="AN520" s="96"/>
      <c r="AO520" s="96"/>
      <c r="AP520" s="96"/>
      <c r="AQ520" s="368"/>
      <c r="AR520" s="368"/>
      <c r="BA520" s="1" t="s">
        <v>1394</v>
      </c>
      <c r="BE520" s="1" t="s">
        <v>973</v>
      </c>
      <c r="BF520" s="1" t="s">
        <v>1290</v>
      </c>
      <c r="BG520" s="1" t="s">
        <v>974</v>
      </c>
      <c r="BH520" s="96" t="s">
        <v>1413</v>
      </c>
      <c r="BI520" s="96" t="s">
        <v>1414</v>
      </c>
      <c r="BJ520" s="96" t="s">
        <v>1407</v>
      </c>
    </row>
    <row r="521" spans="26:62" x14ac:dyDescent="0.25">
      <c r="Z521" s="96"/>
      <c r="AA521" s="87" t="s">
        <v>1392</v>
      </c>
      <c r="AB521" s="87"/>
      <c r="AC521" s="87"/>
      <c r="AD521" s="87"/>
      <c r="AE521" s="87"/>
      <c r="AF521" s="87"/>
      <c r="AG521" s="87"/>
      <c r="AH521" s="87"/>
      <c r="AI521" s="87"/>
      <c r="AJ521" s="96"/>
      <c r="AK521" s="96"/>
      <c r="AL521" s="96"/>
      <c r="AM521" s="96"/>
      <c r="AN521" s="96"/>
      <c r="AO521" s="96"/>
      <c r="AP521" s="96"/>
      <c r="AQ521" s="368"/>
      <c r="AR521" s="368"/>
      <c r="BA521" s="1" t="s">
        <v>1396</v>
      </c>
    </row>
    <row r="522" spans="26:62" x14ac:dyDescent="0.25">
      <c r="Z522" s="96"/>
      <c r="AA522" s="87"/>
      <c r="AB522" s="87"/>
      <c r="AC522" s="87"/>
      <c r="AD522" s="87"/>
      <c r="AE522" s="87"/>
      <c r="AF522" s="1" t="s">
        <v>1399</v>
      </c>
      <c r="AG522" s="87"/>
      <c r="AH522" s="87"/>
      <c r="AI522" s="87"/>
      <c r="AJ522" s="96"/>
      <c r="AK522" s="96"/>
      <c r="AL522" s="96"/>
      <c r="AM522" s="96"/>
      <c r="AN522" s="96"/>
      <c r="AO522" s="96"/>
      <c r="AP522" s="96"/>
      <c r="AQ522" s="368"/>
      <c r="AR522" s="368"/>
      <c r="BF522" s="87" t="s">
        <v>1400</v>
      </c>
    </row>
    <row r="523" spans="26:62" x14ac:dyDescent="0.25">
      <c r="Z523" s="96"/>
      <c r="AA523" s="87" t="s">
        <v>1393</v>
      </c>
      <c r="AB523" s="87"/>
      <c r="AC523" s="87"/>
      <c r="AD523" s="87"/>
      <c r="AE523" s="87" t="s">
        <v>1405</v>
      </c>
      <c r="AF523" s="87" t="s">
        <v>1125</v>
      </c>
      <c r="AG523" s="87" t="s">
        <v>1039</v>
      </c>
      <c r="AH523" s="87" t="s">
        <v>29</v>
      </c>
      <c r="AI523" s="87" t="s">
        <v>369</v>
      </c>
      <c r="AJ523" s="96" t="s">
        <v>1040</v>
      </c>
      <c r="AK523" s="96"/>
      <c r="AL523" s="96"/>
      <c r="AM523" s="96"/>
      <c r="AN523" s="96"/>
      <c r="AO523" s="96"/>
      <c r="AP523" s="96"/>
      <c r="AQ523" s="368"/>
      <c r="AR523" s="368"/>
      <c r="BA523" s="1" t="s">
        <v>1395</v>
      </c>
      <c r="BE523" s="96" t="s">
        <v>1406</v>
      </c>
      <c r="BF523" s="1" t="s">
        <v>975</v>
      </c>
      <c r="BG523" s="1" t="s">
        <v>1412</v>
      </c>
      <c r="BH523" s="1" t="s">
        <v>976</v>
      </c>
      <c r="BI523" s="1" t="s">
        <v>370</v>
      </c>
      <c r="BJ523" s="96" t="s">
        <v>1413</v>
      </c>
    </row>
    <row r="524" spans="26:62" x14ac:dyDescent="0.25">
      <c r="Z524" s="96"/>
      <c r="AA524" s="87" t="s">
        <v>1392</v>
      </c>
      <c r="AB524" s="87"/>
      <c r="AC524" s="87"/>
      <c r="AD524" s="87"/>
      <c r="AE524" s="87"/>
      <c r="AF524" s="87"/>
      <c r="AG524" s="87"/>
      <c r="AH524" s="87"/>
      <c r="AI524" s="87"/>
      <c r="AJ524" s="96"/>
      <c r="AK524" s="96"/>
      <c r="AL524" s="96"/>
      <c r="AM524" s="96"/>
      <c r="AN524" s="96"/>
      <c r="AO524" s="96"/>
      <c r="AP524" s="96"/>
      <c r="AQ524" s="368"/>
      <c r="AR524" s="368"/>
      <c r="BA524" s="1" t="s">
        <v>1396</v>
      </c>
    </row>
    <row r="525" spans="26:62" x14ac:dyDescent="0.25">
      <c r="Z525" s="96"/>
      <c r="AA525" s="87"/>
      <c r="AB525" s="87"/>
      <c r="AC525" s="87"/>
      <c r="AD525" s="87"/>
      <c r="AE525" s="87"/>
      <c r="AF525" s="87"/>
      <c r="AG525" s="87"/>
      <c r="AH525" s="87"/>
      <c r="AI525" s="87"/>
      <c r="AJ525" s="96"/>
      <c r="AK525" s="96"/>
      <c r="AL525" s="96"/>
      <c r="AM525" s="96"/>
      <c r="AN525" s="96"/>
      <c r="AO525" s="96"/>
      <c r="AP525" s="96"/>
      <c r="AQ525" s="368"/>
      <c r="AR525" s="368"/>
    </row>
    <row r="526" spans="26:62" ht="67.2" customHeight="1" x14ac:dyDescent="0.25">
      <c r="Z526" s="96"/>
      <c r="AA526" s="957" t="s">
        <v>1415</v>
      </c>
      <c r="AB526" s="957"/>
      <c r="AC526" s="957"/>
      <c r="AD526" s="957"/>
      <c r="AE526" s="957"/>
      <c r="AF526" s="957"/>
      <c r="AG526" s="957"/>
      <c r="AH526" s="957"/>
      <c r="AI526" s="957"/>
      <c r="AJ526" s="96"/>
      <c r="AK526" s="96"/>
      <c r="AL526" s="96"/>
      <c r="AM526" s="96"/>
      <c r="AN526" s="96"/>
      <c r="AO526" s="96"/>
      <c r="AP526" s="96"/>
      <c r="AQ526" s="368"/>
      <c r="AR526" s="368"/>
      <c r="BA526" s="1000" t="s">
        <v>1416</v>
      </c>
      <c r="BB526" s="986"/>
      <c r="BC526" s="986"/>
      <c r="BD526" s="986"/>
      <c r="BE526" s="986"/>
      <c r="BF526" s="986"/>
      <c r="BG526" s="986"/>
      <c r="BH526" s="986"/>
      <c r="BI526" s="986"/>
    </row>
    <row r="527" spans="26:62" x14ac:dyDescent="0.25">
      <c r="Z527" s="96"/>
      <c r="AA527" s="87" t="s">
        <v>57</v>
      </c>
      <c r="AB527" s="87"/>
      <c r="AC527" s="87"/>
      <c r="AD527" s="87"/>
      <c r="AE527" s="87"/>
      <c r="AF527" s="87"/>
      <c r="AG527" s="87"/>
      <c r="AH527" s="87"/>
      <c r="AI527" s="87"/>
      <c r="AJ527" s="96"/>
      <c r="AK527" s="96"/>
      <c r="AL527" s="96"/>
      <c r="AM527" s="96"/>
      <c r="AN527" s="96"/>
      <c r="AO527" s="96"/>
      <c r="AP527" s="96"/>
      <c r="AQ527" s="368"/>
      <c r="AR527" s="368"/>
      <c r="BA527" s="1" t="s">
        <v>977</v>
      </c>
    </row>
    <row r="528" spans="26:62" x14ac:dyDescent="0.25">
      <c r="Z528" s="96"/>
      <c r="AA528" s="87" t="s">
        <v>58</v>
      </c>
      <c r="AB528" s="87"/>
      <c r="AC528" s="87"/>
      <c r="AD528" s="87"/>
      <c r="AE528" s="87"/>
      <c r="AF528" s="87"/>
      <c r="AG528" s="87"/>
      <c r="AH528" s="87"/>
      <c r="AI528" s="87"/>
      <c r="AJ528" s="96"/>
      <c r="AK528" s="96"/>
      <c r="AL528" s="96"/>
      <c r="AM528" s="96"/>
      <c r="AN528" s="96"/>
      <c r="AO528" s="96"/>
      <c r="AP528" s="96"/>
      <c r="AQ528" s="368"/>
      <c r="AR528" s="368"/>
      <c r="BA528" s="1" t="s">
        <v>978</v>
      </c>
    </row>
    <row r="529" spans="26:58" x14ac:dyDescent="0.25">
      <c r="Z529" s="96"/>
      <c r="AA529" s="87" t="s">
        <v>14</v>
      </c>
      <c r="AB529" s="87"/>
      <c r="AC529" s="87"/>
      <c r="AD529" s="87"/>
      <c r="AE529" s="87"/>
      <c r="AF529" s="87"/>
      <c r="AG529" s="87"/>
      <c r="AH529" s="87"/>
      <c r="AI529" s="87"/>
      <c r="AJ529" s="96"/>
      <c r="AK529" s="96"/>
      <c r="AL529" s="96"/>
      <c r="AM529" s="96"/>
      <c r="AN529" s="96"/>
      <c r="AO529" s="96"/>
      <c r="AP529" s="96"/>
      <c r="AQ529" s="368"/>
      <c r="AR529" s="368"/>
      <c r="BA529" s="1" t="s">
        <v>979</v>
      </c>
    </row>
    <row r="530" spans="26:58" x14ac:dyDescent="0.25">
      <c r="Z530" s="96"/>
      <c r="AA530" s="87" t="s">
        <v>1401</v>
      </c>
      <c r="AB530" s="87"/>
      <c r="AC530" s="87"/>
      <c r="AD530" s="87"/>
      <c r="AE530" s="87"/>
      <c r="AF530" s="87" t="s">
        <v>1281</v>
      </c>
      <c r="AG530" s="87"/>
      <c r="AH530" s="87"/>
      <c r="AI530" s="87"/>
      <c r="AJ530" s="96"/>
      <c r="AK530" s="96"/>
      <c r="AL530" s="96"/>
      <c r="AM530" s="96"/>
      <c r="AN530" s="96"/>
      <c r="AO530" s="96"/>
      <c r="AP530" s="96"/>
      <c r="AQ530" s="368"/>
      <c r="AR530" s="368"/>
      <c r="BA530" s="96" t="s">
        <v>1402</v>
      </c>
      <c r="BF530" s="87" t="s">
        <v>1282</v>
      </c>
    </row>
    <row r="531" spans="26:58" x14ac:dyDescent="0.25">
      <c r="Z531" s="96"/>
      <c r="AA531" s="87" t="s">
        <v>1297</v>
      </c>
      <c r="AB531" s="87"/>
      <c r="AC531" s="87"/>
      <c r="AD531" s="87"/>
      <c r="AE531" s="87"/>
      <c r="AF531" s="87"/>
      <c r="AG531" s="87"/>
      <c r="AH531" s="87"/>
      <c r="AI531" s="87"/>
      <c r="AJ531" s="96"/>
      <c r="AK531" s="96"/>
      <c r="AL531" s="96"/>
      <c r="AM531" s="96"/>
      <c r="AN531" s="96"/>
      <c r="AO531" s="96"/>
      <c r="AP531" s="96"/>
      <c r="AQ531" s="368"/>
      <c r="AR531" s="368"/>
      <c r="BA531" s="1" t="s">
        <v>1296</v>
      </c>
      <c r="BF531" s="87"/>
    </row>
    <row r="532" spans="26:58" x14ac:dyDescent="0.25">
      <c r="Z532" s="96"/>
      <c r="AA532" s="87" t="s">
        <v>15</v>
      </c>
      <c r="AB532" s="87"/>
      <c r="AC532" s="87"/>
      <c r="AD532" s="87"/>
      <c r="AE532" s="87"/>
      <c r="AF532" s="87"/>
      <c r="AG532" s="87"/>
      <c r="AH532" s="87"/>
      <c r="AI532" s="87"/>
      <c r="AJ532" s="96"/>
      <c r="AK532" s="96"/>
      <c r="AL532" s="96"/>
      <c r="AM532" s="96"/>
      <c r="AN532" s="96"/>
      <c r="AO532" s="96"/>
      <c r="AP532" s="96"/>
      <c r="AQ532" s="368"/>
      <c r="AR532" s="368"/>
      <c r="BA532" s="1" t="s">
        <v>980</v>
      </c>
    </row>
    <row r="533" spans="26:58" x14ac:dyDescent="0.25">
      <c r="Z533" s="96"/>
      <c r="AA533" s="87" t="s">
        <v>16</v>
      </c>
      <c r="AB533" s="87"/>
      <c r="AC533" s="87"/>
      <c r="AD533" s="87"/>
      <c r="AE533" s="87"/>
      <c r="AF533" s="87"/>
      <c r="AG533" s="87"/>
      <c r="AH533" s="87"/>
      <c r="AI533" s="87"/>
      <c r="AJ533" s="96"/>
      <c r="AK533" s="96"/>
      <c r="AL533" s="96"/>
      <c r="AM533" s="96"/>
      <c r="AN533" s="96"/>
      <c r="AO533" s="96"/>
      <c r="AP533" s="96"/>
      <c r="AQ533" s="368"/>
      <c r="AR533" s="368"/>
      <c r="BA533" s="1" t="s">
        <v>981</v>
      </c>
    </row>
    <row r="534" spans="26:58" x14ac:dyDescent="0.25">
      <c r="Z534" s="96"/>
      <c r="AA534" s="87" t="s">
        <v>17</v>
      </c>
      <c r="AB534" s="87"/>
      <c r="AC534" s="87"/>
      <c r="AD534" s="87"/>
      <c r="AE534" s="87"/>
      <c r="AF534" s="87"/>
      <c r="AG534" s="87"/>
      <c r="AH534" s="87"/>
      <c r="AI534" s="87"/>
      <c r="AJ534" s="96"/>
      <c r="AK534" s="96"/>
      <c r="AL534" s="96"/>
      <c r="AM534" s="96"/>
      <c r="AN534" s="96"/>
      <c r="AO534" s="96"/>
      <c r="AP534" s="96"/>
      <c r="AQ534" s="368"/>
      <c r="AR534" s="368"/>
      <c r="BA534" s="1" t="s">
        <v>982</v>
      </c>
    </row>
    <row r="535" spans="26:58" x14ac:dyDescent="0.25">
      <c r="Z535" s="96"/>
      <c r="AA535" s="87" t="s">
        <v>18</v>
      </c>
      <c r="AB535" s="87"/>
      <c r="AC535" s="87"/>
      <c r="AD535" s="87"/>
      <c r="AE535" s="87"/>
      <c r="AF535" s="87"/>
      <c r="AG535" s="87"/>
      <c r="AH535" s="87"/>
      <c r="AI535" s="87"/>
      <c r="AJ535" s="96"/>
      <c r="AK535" s="96"/>
      <c r="AL535" s="96"/>
      <c r="AM535" s="96"/>
      <c r="AN535" s="96"/>
      <c r="AO535" s="96"/>
      <c r="AP535" s="96"/>
      <c r="AQ535" s="368"/>
      <c r="AR535" s="368"/>
      <c r="BA535" s="1" t="s">
        <v>983</v>
      </c>
    </row>
    <row r="536" spans="26:58" x14ac:dyDescent="0.25">
      <c r="Z536" s="96"/>
      <c r="AA536" s="87" t="s">
        <v>101</v>
      </c>
      <c r="AB536" s="87"/>
      <c r="AC536" s="87"/>
      <c r="AD536" s="87"/>
      <c r="AE536" s="87"/>
      <c r="AF536" s="87"/>
      <c r="AG536" s="87"/>
      <c r="AH536" s="87"/>
      <c r="AI536" s="87"/>
      <c r="AJ536" s="96"/>
      <c r="AK536" s="96"/>
      <c r="AL536" s="96"/>
      <c r="AM536" s="96"/>
      <c r="AN536" s="96"/>
      <c r="AO536" s="96"/>
      <c r="AP536" s="96"/>
      <c r="AQ536" s="368"/>
      <c r="AR536" s="368"/>
      <c r="BA536" s="1" t="s">
        <v>984</v>
      </c>
    </row>
    <row r="537" spans="26:58" x14ac:dyDescent="0.25">
      <c r="Z537" s="96"/>
      <c r="AA537" s="87"/>
      <c r="AB537" s="87"/>
      <c r="AC537" s="87"/>
      <c r="AD537" s="87"/>
      <c r="AE537" s="87"/>
      <c r="AF537" s="87"/>
      <c r="AG537" s="87"/>
      <c r="AH537" s="87"/>
      <c r="AI537" s="87"/>
      <c r="AJ537" s="96"/>
      <c r="AK537" s="96"/>
      <c r="AL537" s="96"/>
      <c r="AM537" s="96"/>
      <c r="AN537" s="96"/>
      <c r="AO537" s="96"/>
      <c r="AP537" s="96"/>
      <c r="AQ537" s="368"/>
      <c r="AR537" s="368"/>
    </row>
    <row r="538" spans="26:58" x14ac:dyDescent="0.25">
      <c r="Z538" s="96"/>
      <c r="AA538" s="87" t="s">
        <v>57</v>
      </c>
      <c r="AB538" s="87"/>
      <c r="AC538" s="87"/>
      <c r="AD538" s="87"/>
      <c r="AE538" s="87"/>
      <c r="AF538" s="87"/>
      <c r="AG538" s="87"/>
      <c r="AH538" s="87"/>
      <c r="AI538" s="87"/>
      <c r="AJ538" s="96"/>
      <c r="AK538" s="96"/>
      <c r="AL538" s="96"/>
      <c r="AM538" s="96"/>
      <c r="AN538" s="96"/>
      <c r="AO538" s="96"/>
      <c r="AP538" s="96"/>
      <c r="AQ538" s="368"/>
      <c r="AR538" s="368"/>
      <c r="BA538" s="1" t="s">
        <v>977</v>
      </c>
    </row>
    <row r="539" spans="26:58" x14ac:dyDescent="0.25">
      <c r="Z539" s="96"/>
      <c r="AA539" s="87" t="s">
        <v>58</v>
      </c>
      <c r="AB539" s="87"/>
      <c r="AC539" s="87"/>
      <c r="AD539" s="87"/>
      <c r="AE539" s="87"/>
      <c r="AF539" s="87"/>
      <c r="AG539" s="87"/>
      <c r="AH539" s="87"/>
      <c r="AI539" s="87"/>
      <c r="AJ539" s="96"/>
      <c r="AK539" s="96"/>
      <c r="AL539" s="96"/>
      <c r="AM539" s="96"/>
      <c r="AN539" s="96"/>
      <c r="AO539" s="96"/>
      <c r="AP539" s="96"/>
      <c r="AQ539" s="368"/>
      <c r="AR539" s="368"/>
      <c r="BA539" s="1" t="s">
        <v>978</v>
      </c>
    </row>
    <row r="540" spans="26:58" x14ac:dyDescent="0.25">
      <c r="Z540" s="96"/>
      <c r="AA540" s="87" t="s">
        <v>14</v>
      </c>
      <c r="AB540" s="87"/>
      <c r="AC540" s="87"/>
      <c r="AD540" s="87"/>
      <c r="AE540" s="87"/>
      <c r="AF540" s="87"/>
      <c r="AG540" s="87"/>
      <c r="AH540" s="87"/>
      <c r="AI540" s="87"/>
      <c r="AJ540" s="96"/>
      <c r="AK540" s="96"/>
      <c r="AL540" s="96"/>
      <c r="AM540" s="96"/>
      <c r="AN540" s="96"/>
      <c r="AO540" s="96"/>
      <c r="AP540" s="96"/>
      <c r="AQ540" s="368"/>
      <c r="AR540" s="368"/>
      <c r="BA540" s="1" t="s">
        <v>979</v>
      </c>
    </row>
    <row r="541" spans="26:58" x14ac:dyDescent="0.25">
      <c r="Z541" s="96"/>
      <c r="AA541" s="87" t="s">
        <v>1401</v>
      </c>
      <c r="AB541" s="87"/>
      <c r="AC541" s="87"/>
      <c r="AD541" s="87"/>
      <c r="AE541" s="87"/>
      <c r="AF541" s="87" t="s">
        <v>1281</v>
      </c>
      <c r="AG541" s="87"/>
      <c r="AH541" s="87"/>
      <c r="AI541" s="87"/>
      <c r="AJ541" s="96"/>
      <c r="AK541" s="96"/>
      <c r="AL541" s="96"/>
      <c r="AM541" s="96"/>
      <c r="AN541" s="96"/>
      <c r="AO541" s="96"/>
      <c r="AP541" s="96"/>
      <c r="AQ541" s="368"/>
      <c r="AR541" s="368"/>
      <c r="BA541" s="96" t="s">
        <v>1402</v>
      </c>
      <c r="BF541" s="87" t="s">
        <v>1282</v>
      </c>
    </row>
    <row r="542" spans="26:58" x14ac:dyDescent="0.25">
      <c r="Z542" s="96"/>
      <c r="AA542" s="87" t="s">
        <v>1297</v>
      </c>
      <c r="AB542" s="87"/>
      <c r="AC542" s="87"/>
      <c r="AD542" s="87"/>
      <c r="AE542" s="87"/>
      <c r="AF542" s="87"/>
      <c r="AG542" s="87"/>
      <c r="AH542" s="87"/>
      <c r="AI542" s="87"/>
      <c r="AJ542" s="96"/>
      <c r="AK542" s="96"/>
      <c r="AL542" s="96"/>
      <c r="AM542" s="96"/>
      <c r="AN542" s="96"/>
      <c r="AO542" s="96"/>
      <c r="AP542" s="96"/>
      <c r="AQ542" s="368"/>
      <c r="AR542" s="368"/>
      <c r="BA542" s="1" t="s">
        <v>1296</v>
      </c>
      <c r="BF542" s="87"/>
    </row>
    <row r="543" spans="26:58" x14ac:dyDescent="0.25">
      <c r="Z543" s="96"/>
      <c r="AA543" s="87" t="s">
        <v>15</v>
      </c>
      <c r="AB543" s="87"/>
      <c r="AC543" s="87"/>
      <c r="AD543" s="87"/>
      <c r="AE543" s="87"/>
      <c r="AF543" s="87"/>
      <c r="AG543" s="87"/>
      <c r="AH543" s="87"/>
      <c r="AI543" s="87"/>
      <c r="AJ543" s="96"/>
      <c r="AK543" s="96"/>
      <c r="AL543" s="96"/>
      <c r="AM543" s="96"/>
      <c r="AN543" s="96"/>
      <c r="AO543" s="96"/>
      <c r="AP543" s="96"/>
      <c r="AQ543" s="368"/>
      <c r="AR543" s="368"/>
      <c r="BA543" s="1" t="s">
        <v>980</v>
      </c>
    </row>
    <row r="544" spans="26:58" x14ac:dyDescent="0.25">
      <c r="Z544" s="96"/>
      <c r="AA544" s="87" t="s">
        <v>16</v>
      </c>
      <c r="AB544" s="87"/>
      <c r="AC544" s="87"/>
      <c r="AD544" s="87"/>
      <c r="AE544" s="87"/>
      <c r="AF544" s="87"/>
      <c r="AG544" s="87"/>
      <c r="AH544" s="87"/>
      <c r="AI544" s="87"/>
      <c r="AJ544" s="96"/>
      <c r="AK544" s="96"/>
      <c r="AL544" s="96"/>
      <c r="AM544" s="96"/>
      <c r="AN544" s="96"/>
      <c r="AO544" s="96"/>
      <c r="AP544" s="96"/>
      <c r="AQ544" s="368"/>
      <c r="AR544" s="368"/>
      <c r="BA544" s="1" t="s">
        <v>981</v>
      </c>
    </row>
    <row r="545" spans="26:58" x14ac:dyDescent="0.25">
      <c r="Z545" s="96"/>
      <c r="AA545" s="87" t="s">
        <v>17</v>
      </c>
      <c r="AB545" s="87"/>
      <c r="AC545" s="87"/>
      <c r="AD545" s="87"/>
      <c r="AE545" s="87"/>
      <c r="AF545" s="87"/>
      <c r="AG545" s="87"/>
      <c r="AH545" s="87"/>
      <c r="AI545" s="87"/>
      <c r="AJ545" s="96"/>
      <c r="AK545" s="96"/>
      <c r="AL545" s="96"/>
      <c r="AM545" s="96"/>
      <c r="AN545" s="96"/>
      <c r="AO545" s="96"/>
      <c r="AP545" s="96"/>
      <c r="AQ545" s="368"/>
      <c r="AR545" s="368"/>
      <c r="BA545" s="1" t="s">
        <v>982</v>
      </c>
    </row>
    <row r="546" spans="26:58" x14ac:dyDescent="0.25">
      <c r="Z546" s="96"/>
      <c r="AA546" s="87" t="s">
        <v>18</v>
      </c>
      <c r="AB546" s="87"/>
      <c r="AC546" s="87"/>
      <c r="AD546" s="87"/>
      <c r="AE546" s="87"/>
      <c r="AF546" s="87"/>
      <c r="AG546" s="87"/>
      <c r="AH546" s="87"/>
      <c r="AI546" s="87"/>
      <c r="AJ546" s="96"/>
      <c r="AK546" s="96"/>
      <c r="AL546" s="96"/>
      <c r="AM546" s="96"/>
      <c r="AN546" s="96"/>
      <c r="AO546" s="96"/>
      <c r="AP546" s="96"/>
      <c r="AQ546" s="368"/>
      <c r="AR546" s="368"/>
      <c r="BA546" s="1" t="s">
        <v>983</v>
      </c>
    </row>
    <row r="547" spans="26:58" x14ac:dyDescent="0.25">
      <c r="Z547" s="96"/>
      <c r="AA547" s="87" t="s">
        <v>101</v>
      </c>
      <c r="AB547" s="87"/>
      <c r="AC547" s="87"/>
      <c r="AD547" s="87"/>
      <c r="AE547" s="87"/>
      <c r="AF547" s="87"/>
      <c r="AG547" s="87"/>
      <c r="AH547" s="87"/>
      <c r="AI547" s="87"/>
      <c r="AJ547" s="96"/>
      <c r="AK547" s="96"/>
      <c r="AL547" s="96"/>
      <c r="AM547" s="96"/>
      <c r="AN547" s="96"/>
      <c r="AO547" s="96"/>
      <c r="AP547" s="96"/>
      <c r="AQ547" s="368"/>
      <c r="AR547" s="368"/>
      <c r="BA547" s="1" t="s">
        <v>984</v>
      </c>
    </row>
    <row r="548" spans="26:58" x14ac:dyDescent="0.25">
      <c r="Z548" s="96"/>
      <c r="AA548" s="87"/>
      <c r="AB548" s="87"/>
      <c r="AC548" s="87"/>
      <c r="AD548" s="87"/>
      <c r="AE548" s="87"/>
      <c r="AF548" s="87"/>
      <c r="AG548" s="87"/>
      <c r="AH548" s="87"/>
      <c r="AI548" s="87"/>
      <c r="AJ548" s="96"/>
      <c r="AK548" s="96"/>
      <c r="AL548" s="96"/>
      <c r="AM548" s="96"/>
      <c r="AN548" s="96"/>
      <c r="AO548" s="96"/>
      <c r="AP548" s="96"/>
      <c r="AQ548" s="368"/>
      <c r="AR548" s="368"/>
    </row>
    <row r="549" spans="26:58" x14ac:dyDescent="0.25">
      <c r="Z549" s="96"/>
      <c r="AA549" s="87" t="s">
        <v>57</v>
      </c>
      <c r="AB549" s="87"/>
      <c r="AC549" s="87"/>
      <c r="AD549" s="87"/>
      <c r="AE549" s="87"/>
      <c r="AF549" s="87"/>
      <c r="AG549" s="87"/>
      <c r="AH549" s="87"/>
      <c r="AI549" s="87"/>
      <c r="AJ549" s="96"/>
      <c r="AK549" s="96"/>
      <c r="AL549" s="96"/>
      <c r="AM549" s="96"/>
      <c r="AN549" s="96"/>
      <c r="AO549" s="96"/>
      <c r="AP549" s="96"/>
      <c r="AQ549" s="368"/>
      <c r="AR549" s="368"/>
      <c r="BA549" s="1" t="s">
        <v>977</v>
      </c>
    </row>
    <row r="550" spans="26:58" x14ac:dyDescent="0.25">
      <c r="Z550" s="96"/>
      <c r="AA550" s="87" t="s">
        <v>58</v>
      </c>
      <c r="AB550" s="87"/>
      <c r="AC550" s="87"/>
      <c r="AD550" s="87"/>
      <c r="AE550" s="87"/>
      <c r="AF550" s="87"/>
      <c r="AG550" s="87"/>
      <c r="AH550" s="87"/>
      <c r="AI550" s="87"/>
      <c r="AJ550" s="96"/>
      <c r="AK550" s="96"/>
      <c r="AL550" s="96"/>
      <c r="AM550" s="96"/>
      <c r="AN550" s="96"/>
      <c r="AO550" s="96"/>
      <c r="AP550" s="96"/>
      <c r="AQ550" s="368"/>
      <c r="AR550" s="368"/>
      <c r="BA550" s="1" t="s">
        <v>978</v>
      </c>
    </row>
    <row r="551" spans="26:58" x14ac:dyDescent="0.25">
      <c r="Z551" s="96"/>
      <c r="AA551" s="87" t="s">
        <v>14</v>
      </c>
      <c r="AB551" s="87"/>
      <c r="AC551" s="87"/>
      <c r="AD551" s="87"/>
      <c r="AE551" s="87"/>
      <c r="AF551" s="87"/>
      <c r="AG551" s="87"/>
      <c r="AH551" s="87"/>
      <c r="AI551" s="87"/>
      <c r="AJ551" s="96"/>
      <c r="AK551" s="96"/>
      <c r="AL551" s="96"/>
      <c r="AM551" s="96"/>
      <c r="AN551" s="96"/>
      <c r="AO551" s="96"/>
      <c r="AP551" s="96"/>
      <c r="AQ551" s="368"/>
      <c r="AR551" s="368"/>
      <c r="BA551" s="1" t="s">
        <v>979</v>
      </c>
    </row>
    <row r="552" spans="26:58" x14ac:dyDescent="0.25">
      <c r="Z552" s="96"/>
      <c r="AA552" s="87" t="s">
        <v>1401</v>
      </c>
      <c r="AB552" s="87"/>
      <c r="AC552" s="87"/>
      <c r="AD552" s="87"/>
      <c r="AE552" s="87"/>
      <c r="AF552" s="87" t="s">
        <v>1281</v>
      </c>
      <c r="AG552" s="87"/>
      <c r="AH552" s="87"/>
      <c r="AI552" s="87"/>
      <c r="AJ552" s="96"/>
      <c r="AK552" s="96"/>
      <c r="AL552" s="96"/>
      <c r="AM552" s="96"/>
      <c r="AN552" s="96"/>
      <c r="AO552" s="96"/>
      <c r="AP552" s="96"/>
      <c r="AQ552" s="368"/>
      <c r="AR552" s="368"/>
      <c r="BA552" s="96" t="s">
        <v>1402</v>
      </c>
      <c r="BF552" s="87" t="s">
        <v>1282</v>
      </c>
    </row>
    <row r="553" spans="26:58" x14ac:dyDescent="0.25">
      <c r="Z553" s="96"/>
      <c r="AA553" s="87" t="s">
        <v>1297</v>
      </c>
      <c r="AB553" s="87"/>
      <c r="AC553" s="87"/>
      <c r="AD553" s="87"/>
      <c r="AE553" s="87"/>
      <c r="AF553" s="87"/>
      <c r="AG553" s="87"/>
      <c r="AH553" s="87"/>
      <c r="AI553" s="87"/>
      <c r="AJ553" s="96"/>
      <c r="AK553" s="96"/>
      <c r="AL553" s="96"/>
      <c r="AM553" s="96"/>
      <c r="AN553" s="96"/>
      <c r="AO553" s="96"/>
      <c r="AP553" s="96"/>
      <c r="AQ553" s="368"/>
      <c r="AR553" s="368"/>
      <c r="BA553" s="1" t="s">
        <v>1296</v>
      </c>
      <c r="BF553" s="87"/>
    </row>
    <row r="554" spans="26:58" x14ac:dyDescent="0.25">
      <c r="Z554" s="96"/>
      <c r="AA554" s="87" t="s">
        <v>15</v>
      </c>
      <c r="AB554" s="87"/>
      <c r="AC554" s="87"/>
      <c r="AD554" s="87"/>
      <c r="AE554" s="87"/>
      <c r="AF554" s="87"/>
      <c r="AG554" s="87"/>
      <c r="AH554" s="87"/>
      <c r="AI554" s="87"/>
      <c r="AJ554" s="96"/>
      <c r="AK554" s="96"/>
      <c r="AL554" s="96"/>
      <c r="AM554" s="96"/>
      <c r="AN554" s="96"/>
      <c r="AO554" s="96"/>
      <c r="AP554" s="96"/>
      <c r="AQ554" s="368"/>
      <c r="AR554" s="368"/>
      <c r="BA554" s="1" t="s">
        <v>980</v>
      </c>
    </row>
    <row r="555" spans="26:58" x14ac:dyDescent="0.25">
      <c r="Z555" s="96"/>
      <c r="AA555" s="87" t="s">
        <v>16</v>
      </c>
      <c r="AB555" s="87"/>
      <c r="AC555" s="87"/>
      <c r="AD555" s="87"/>
      <c r="AE555" s="87"/>
      <c r="AF555" s="87"/>
      <c r="AG555" s="87"/>
      <c r="AH555" s="87"/>
      <c r="AI555" s="87"/>
      <c r="AJ555" s="96"/>
      <c r="AK555" s="96"/>
      <c r="AL555" s="96"/>
      <c r="AM555" s="96"/>
      <c r="AN555" s="96"/>
      <c r="AO555" s="96"/>
      <c r="AP555" s="96"/>
      <c r="AQ555" s="368"/>
      <c r="AR555" s="368"/>
      <c r="BA555" s="1" t="s">
        <v>981</v>
      </c>
    </row>
    <row r="556" spans="26:58" x14ac:dyDescent="0.25">
      <c r="Z556" s="96"/>
      <c r="AA556" s="87" t="s">
        <v>17</v>
      </c>
      <c r="AB556" s="87"/>
      <c r="AC556" s="87"/>
      <c r="AD556" s="87"/>
      <c r="AE556" s="87"/>
      <c r="AF556" s="87"/>
      <c r="AG556" s="87"/>
      <c r="AH556" s="87"/>
      <c r="AI556" s="87"/>
      <c r="AJ556" s="96"/>
      <c r="AK556" s="96"/>
      <c r="AL556" s="96"/>
      <c r="AM556" s="96"/>
      <c r="AN556" s="96"/>
      <c r="AO556" s="96"/>
      <c r="AP556" s="96"/>
      <c r="AQ556" s="368"/>
      <c r="AR556" s="368"/>
      <c r="BA556" s="1" t="s">
        <v>982</v>
      </c>
    </row>
    <row r="557" spans="26:58" x14ac:dyDescent="0.25">
      <c r="Z557" s="96"/>
      <c r="AA557" s="87" t="s">
        <v>18</v>
      </c>
      <c r="AB557" s="87"/>
      <c r="AC557" s="87"/>
      <c r="AD557" s="87"/>
      <c r="AE557" s="87"/>
      <c r="AF557" s="87"/>
      <c r="AG557" s="87"/>
      <c r="AH557" s="87"/>
      <c r="AI557" s="87"/>
      <c r="AJ557" s="96"/>
      <c r="AK557" s="96"/>
      <c r="AL557" s="96"/>
      <c r="AM557" s="96"/>
      <c r="AN557" s="96"/>
      <c r="AO557" s="96"/>
      <c r="AP557" s="96"/>
      <c r="AQ557" s="368"/>
      <c r="AR557" s="368"/>
      <c r="BA557" s="1" t="s">
        <v>983</v>
      </c>
    </row>
    <row r="558" spans="26:58" x14ac:dyDescent="0.25">
      <c r="Z558" s="96"/>
      <c r="AA558" s="87" t="s">
        <v>101</v>
      </c>
      <c r="AB558" s="87"/>
      <c r="AC558" s="87"/>
      <c r="AD558" s="87"/>
      <c r="AE558" s="87"/>
      <c r="AF558" s="87"/>
      <c r="AG558" s="87"/>
      <c r="AH558" s="87"/>
      <c r="AI558" s="87"/>
      <c r="AJ558" s="96"/>
      <c r="AK558" s="96"/>
      <c r="AL558" s="96"/>
      <c r="AM558" s="96"/>
      <c r="AN558" s="96"/>
      <c r="AO558" s="96"/>
      <c r="AP558" s="96"/>
      <c r="AQ558" s="368"/>
      <c r="AR558" s="368"/>
      <c r="BA558" s="1" t="s">
        <v>984</v>
      </c>
    </row>
    <row r="559" spans="26:58" x14ac:dyDescent="0.25">
      <c r="Z559" s="96"/>
      <c r="AA559" s="87"/>
      <c r="AB559" s="87"/>
      <c r="AC559" s="87"/>
      <c r="AD559" s="87"/>
      <c r="AE559" s="87"/>
      <c r="AF559" s="87"/>
      <c r="AG559" s="87"/>
      <c r="AH559" s="87"/>
      <c r="AI559" s="87"/>
      <c r="AJ559" s="96"/>
      <c r="AK559" s="96"/>
      <c r="AL559" s="96"/>
      <c r="AM559" s="96"/>
      <c r="AN559" s="96"/>
      <c r="AO559" s="96"/>
      <c r="AP559" s="96"/>
      <c r="AQ559" s="368"/>
      <c r="AR559" s="368"/>
    </row>
    <row r="560" spans="26:58" x14ac:dyDescent="0.25">
      <c r="Z560" s="96"/>
      <c r="AA560" s="87"/>
      <c r="AB560" s="87"/>
      <c r="AC560" s="87"/>
      <c r="AD560" s="87"/>
      <c r="AE560" s="87"/>
      <c r="AF560" s="87"/>
      <c r="AG560" s="87"/>
      <c r="AH560" s="87"/>
      <c r="AI560" s="87"/>
      <c r="AJ560" s="96"/>
      <c r="AK560" s="96"/>
      <c r="AL560" s="96"/>
      <c r="AM560" s="96"/>
      <c r="AN560" s="96"/>
      <c r="AO560" s="96"/>
      <c r="AP560" s="96"/>
      <c r="AQ560" s="368"/>
      <c r="AR560" s="368"/>
    </row>
    <row r="561" spans="26:61" x14ac:dyDescent="0.25">
      <c r="Z561" s="96"/>
      <c r="AA561" s="87"/>
      <c r="AB561" s="87"/>
      <c r="AC561" s="87"/>
      <c r="AD561" s="87"/>
      <c r="AE561" s="87"/>
      <c r="AF561" s="87"/>
      <c r="AG561" s="87"/>
      <c r="AH561" s="87"/>
      <c r="AI561" s="87"/>
      <c r="AJ561" s="96"/>
      <c r="AK561" s="96"/>
      <c r="AL561" s="96"/>
      <c r="AM561" s="96"/>
      <c r="AN561" s="96"/>
      <c r="AO561" s="96"/>
      <c r="AP561" s="96"/>
      <c r="AQ561" s="368"/>
      <c r="AR561" s="368"/>
    </row>
    <row r="562" spans="26:61" x14ac:dyDescent="0.25">
      <c r="Z562" s="96"/>
      <c r="AA562" s="87"/>
      <c r="AB562" s="87"/>
      <c r="AC562" s="87"/>
      <c r="AD562" s="87"/>
      <c r="AE562" s="87"/>
      <c r="AF562" s="87"/>
      <c r="AG562" s="87"/>
      <c r="AH562" s="87"/>
      <c r="AI562" s="87"/>
      <c r="AJ562" s="96"/>
      <c r="AK562" s="96"/>
      <c r="AL562" s="96"/>
      <c r="AM562" s="96"/>
      <c r="AN562" s="96"/>
      <c r="AO562" s="96"/>
      <c r="AP562" s="96"/>
      <c r="AQ562" s="368"/>
      <c r="AR562" s="368"/>
    </row>
    <row r="563" spans="26:61" x14ac:dyDescent="0.25">
      <c r="Z563" s="96"/>
      <c r="AA563" s="87"/>
      <c r="AB563" s="87"/>
      <c r="AC563" s="87"/>
      <c r="AD563" s="87"/>
      <c r="AE563" s="87"/>
      <c r="AF563" s="87"/>
      <c r="AG563" s="87"/>
      <c r="AH563" s="87"/>
      <c r="AI563" s="87"/>
      <c r="AJ563" s="96"/>
      <c r="AK563" s="96"/>
      <c r="AL563" s="96"/>
      <c r="AM563" s="96"/>
      <c r="AN563" s="96"/>
      <c r="AO563" s="96"/>
      <c r="AP563" s="96"/>
      <c r="AQ563" s="368"/>
      <c r="AR563" s="368"/>
    </row>
    <row r="564" spans="26:61" x14ac:dyDescent="0.25">
      <c r="Z564" s="96"/>
      <c r="AA564" s="87"/>
      <c r="AB564" s="87"/>
      <c r="AC564" s="87"/>
      <c r="AD564" s="87"/>
      <c r="AE564" s="87"/>
      <c r="AF564" s="87"/>
      <c r="AG564" s="87"/>
      <c r="AH564" s="87"/>
      <c r="AI564" s="87"/>
      <c r="AJ564" s="96"/>
      <c r="AK564" s="96"/>
      <c r="AL564" s="96"/>
      <c r="AM564" s="96"/>
      <c r="AN564" s="96"/>
      <c r="AO564" s="96"/>
      <c r="AP564" s="96"/>
      <c r="AQ564" s="368"/>
      <c r="AR564" s="368"/>
    </row>
    <row r="565" spans="26:61" x14ac:dyDescent="0.25">
      <c r="Z565" s="96"/>
      <c r="AA565" s="87"/>
      <c r="AB565" s="87"/>
      <c r="AC565" s="87"/>
      <c r="AD565" s="87"/>
      <c r="AE565" s="87"/>
      <c r="AF565" s="87"/>
      <c r="AG565" s="87"/>
      <c r="AH565" s="87"/>
      <c r="AI565" s="87"/>
      <c r="AJ565" s="96"/>
      <c r="AK565" s="96"/>
      <c r="AL565" s="96"/>
      <c r="AM565" s="96"/>
      <c r="AN565" s="96"/>
      <c r="AO565" s="96"/>
      <c r="AP565" s="96"/>
      <c r="AQ565" s="368"/>
      <c r="AR565" s="368"/>
    </row>
    <row r="566" spans="26:61" x14ac:dyDescent="0.25">
      <c r="Z566" s="96"/>
      <c r="AA566" s="87"/>
      <c r="AB566" s="87"/>
      <c r="AC566" s="87"/>
      <c r="AD566" s="87"/>
      <c r="AE566" s="87"/>
      <c r="AF566" s="87"/>
      <c r="AG566" s="87"/>
      <c r="AH566" s="87"/>
      <c r="AI566" s="87"/>
      <c r="AJ566" s="96"/>
      <c r="AK566" s="96"/>
      <c r="AL566" s="96"/>
      <c r="AM566" s="96"/>
      <c r="AN566" s="96"/>
      <c r="AO566" s="96"/>
      <c r="AP566" s="96"/>
      <c r="AQ566" s="368"/>
      <c r="AR566" s="368"/>
    </row>
    <row r="567" spans="26:61" x14ac:dyDescent="0.25">
      <c r="Z567" s="96"/>
      <c r="AA567" s="87"/>
      <c r="AB567" s="87"/>
      <c r="AC567" s="87"/>
      <c r="AD567" s="87"/>
      <c r="AE567" s="87"/>
      <c r="AF567" s="87"/>
      <c r="AG567" s="87"/>
      <c r="AH567" s="87"/>
      <c r="AI567" s="87"/>
      <c r="AJ567" s="96"/>
      <c r="AK567" s="96"/>
      <c r="AL567" s="96"/>
      <c r="AM567" s="96"/>
      <c r="AN567" s="96"/>
      <c r="AO567" s="96"/>
      <c r="AP567" s="96"/>
      <c r="AQ567" s="368"/>
      <c r="AR567" s="368"/>
    </row>
    <row r="568" spans="26:61" x14ac:dyDescent="0.25">
      <c r="Z568" s="96"/>
      <c r="AA568" s="87" t="s">
        <v>787</v>
      </c>
      <c r="AB568" s="87"/>
      <c r="AC568" s="87"/>
      <c r="AD568" s="87"/>
      <c r="AE568" s="87"/>
      <c r="AF568" s="87"/>
      <c r="AG568" s="87"/>
      <c r="AH568" s="87"/>
      <c r="AI568" s="87" t="s">
        <v>1157</v>
      </c>
      <c r="AJ568" s="96"/>
      <c r="AK568" s="96"/>
      <c r="AL568" s="96"/>
      <c r="AM568" s="96"/>
      <c r="AN568" s="96"/>
      <c r="AO568" s="96"/>
      <c r="AP568" s="96"/>
      <c r="AQ568" s="368"/>
      <c r="AR568" s="368"/>
      <c r="BA568" s="1" t="s">
        <v>985</v>
      </c>
      <c r="BI568" s="1" t="s">
        <v>515</v>
      </c>
    </row>
    <row r="569" spans="26:61" x14ac:dyDescent="0.25">
      <c r="Z569" s="96"/>
      <c r="AA569" s="87" t="s">
        <v>41</v>
      </c>
      <c r="AB569" s="87"/>
      <c r="AC569" s="87"/>
      <c r="AD569" s="87"/>
      <c r="AE569" s="87"/>
      <c r="AF569" s="87"/>
      <c r="AG569" s="87"/>
      <c r="AH569" s="87"/>
      <c r="AI569" s="87"/>
      <c r="AJ569" s="96"/>
      <c r="AK569" s="96"/>
      <c r="AL569" s="96"/>
      <c r="AM569" s="96"/>
      <c r="AN569" s="96"/>
      <c r="AO569" s="96"/>
      <c r="AP569" s="96"/>
      <c r="AQ569" s="368"/>
      <c r="AR569" s="368"/>
      <c r="BA569" s="1" t="s">
        <v>986</v>
      </c>
    </row>
    <row r="570" spans="26:61" x14ac:dyDescent="0.25">
      <c r="Z570" s="96"/>
      <c r="AA570" s="87" t="s">
        <v>571</v>
      </c>
      <c r="AB570" s="87"/>
      <c r="AC570" s="87"/>
      <c r="AD570" s="87"/>
      <c r="AE570" s="87"/>
      <c r="AF570" s="87"/>
      <c r="AG570" s="87"/>
      <c r="AH570" s="87"/>
      <c r="AI570" s="87"/>
      <c r="AJ570" s="96"/>
      <c r="AK570" s="96"/>
      <c r="AL570" s="96"/>
      <c r="AM570" s="96"/>
      <c r="AN570" s="96"/>
      <c r="AO570" s="96"/>
      <c r="AP570" s="96"/>
      <c r="AQ570" s="368"/>
      <c r="AR570" s="368"/>
      <c r="BA570" s="1" t="s">
        <v>987</v>
      </c>
    </row>
    <row r="571" spans="26:61" x14ac:dyDescent="0.25">
      <c r="Z571" s="96"/>
      <c r="AA571" s="87" t="s">
        <v>791</v>
      </c>
      <c r="AB571" s="87"/>
      <c r="AC571" s="87"/>
      <c r="AD571" s="87"/>
      <c r="AE571" s="87" t="s">
        <v>621</v>
      </c>
      <c r="AF571" s="87"/>
      <c r="AG571" s="87"/>
      <c r="AH571" s="87"/>
      <c r="AI571" s="87"/>
      <c r="AJ571" s="96"/>
      <c r="AK571" s="96"/>
      <c r="AL571" s="96"/>
      <c r="AM571" s="96"/>
      <c r="AN571" s="96"/>
      <c r="AO571" s="96"/>
      <c r="AP571" s="96"/>
      <c r="AQ571" s="368"/>
      <c r="AR571" s="368"/>
      <c r="BA571" s="1" t="s">
        <v>988</v>
      </c>
      <c r="BE571" s="1" t="s">
        <v>989</v>
      </c>
    </row>
    <row r="572" spans="26:61" x14ac:dyDescent="0.25">
      <c r="Z572" s="96"/>
      <c r="AA572" s="87" t="s">
        <v>5</v>
      </c>
      <c r="AB572" s="87"/>
      <c r="AC572" s="87"/>
      <c r="AD572" s="87"/>
      <c r="AE572" s="87" t="s">
        <v>788</v>
      </c>
      <c r="AF572" s="87"/>
      <c r="AG572" s="87"/>
      <c r="AH572" s="87"/>
      <c r="AI572" s="87"/>
      <c r="AJ572" s="96"/>
      <c r="AK572" s="96"/>
      <c r="AL572" s="96"/>
      <c r="AM572" s="96"/>
      <c r="AN572" s="96"/>
      <c r="AO572" s="96"/>
      <c r="AP572" s="96"/>
      <c r="AQ572" s="368"/>
      <c r="AR572" s="368"/>
      <c r="BA572" s="1" t="s">
        <v>990</v>
      </c>
      <c r="BE572" s="1" t="s">
        <v>991</v>
      </c>
    </row>
    <row r="573" spans="26:61" x14ac:dyDescent="0.25">
      <c r="Z573" s="96"/>
      <c r="AA573" s="87" t="s">
        <v>6</v>
      </c>
      <c r="AB573" s="87"/>
      <c r="AC573" s="87"/>
      <c r="AD573" s="87"/>
      <c r="AE573" s="87" t="s">
        <v>789</v>
      </c>
      <c r="AF573" s="87"/>
      <c r="AG573" s="87"/>
      <c r="AH573" s="87"/>
      <c r="AI573" s="87"/>
      <c r="AJ573" s="96"/>
      <c r="AK573" s="96"/>
      <c r="AL573" s="96"/>
      <c r="AM573" s="96"/>
      <c r="AN573" s="96"/>
      <c r="AO573" s="96"/>
      <c r="AP573" s="96"/>
      <c r="AQ573" s="368"/>
      <c r="AR573" s="368"/>
      <c r="BA573" s="1" t="s">
        <v>992</v>
      </c>
      <c r="BE573" s="1" t="s">
        <v>993</v>
      </c>
    </row>
    <row r="574" spans="26:61" x14ac:dyDescent="0.25">
      <c r="Z574" s="96"/>
      <c r="AA574" s="87"/>
      <c r="AB574" s="87"/>
      <c r="AC574" s="87"/>
      <c r="AD574" s="87"/>
      <c r="AE574" s="87"/>
      <c r="AF574" s="87"/>
      <c r="AG574" s="87"/>
      <c r="AH574" s="87"/>
      <c r="AI574" s="87"/>
      <c r="AJ574" s="96"/>
      <c r="AK574" s="96"/>
      <c r="AL574" s="96"/>
      <c r="AM574" s="96"/>
      <c r="AN574" s="96"/>
      <c r="AO574" s="96"/>
      <c r="AP574" s="96"/>
      <c r="AQ574" s="368"/>
      <c r="AR574" s="368"/>
    </row>
    <row r="575" spans="26:61" x14ac:dyDescent="0.25">
      <c r="Z575" s="96"/>
      <c r="AA575" s="87" t="s">
        <v>5</v>
      </c>
      <c r="AB575" s="87"/>
      <c r="AC575" s="87"/>
      <c r="AD575" s="87"/>
      <c r="AE575" s="87" t="s">
        <v>788</v>
      </c>
      <c r="AF575" s="87"/>
      <c r="AG575" s="87"/>
      <c r="AH575" s="87"/>
      <c r="AI575" s="87"/>
      <c r="AJ575" s="96"/>
      <c r="AK575" s="96"/>
      <c r="AL575" s="96"/>
      <c r="AM575" s="96"/>
      <c r="AN575" s="96"/>
      <c r="AO575" s="96"/>
      <c r="AP575" s="96"/>
      <c r="AQ575" s="368"/>
      <c r="AR575" s="368"/>
      <c r="BA575" s="1" t="s">
        <v>990</v>
      </c>
      <c r="BE575" s="1" t="s">
        <v>991</v>
      </c>
    </row>
    <row r="576" spans="26:61" x14ac:dyDescent="0.25">
      <c r="Z576" s="96"/>
      <c r="AA576" s="87" t="s">
        <v>6</v>
      </c>
      <c r="AB576" s="87"/>
      <c r="AC576" s="87"/>
      <c r="AD576" s="87"/>
      <c r="AE576" s="87" t="s">
        <v>789</v>
      </c>
      <c r="AF576" s="87"/>
      <c r="AG576" s="87"/>
      <c r="AH576" s="87"/>
      <c r="AI576" s="87"/>
      <c r="AJ576" s="96"/>
      <c r="AK576" s="96"/>
      <c r="AL576" s="96"/>
      <c r="AM576" s="96"/>
      <c r="AN576" s="96"/>
      <c r="AO576" s="96"/>
      <c r="AP576" s="96"/>
      <c r="AQ576" s="368"/>
      <c r="AR576" s="368"/>
      <c r="BA576" s="1" t="s">
        <v>992</v>
      </c>
      <c r="BE576" s="1" t="s">
        <v>993</v>
      </c>
    </row>
    <row r="577" spans="26:61" x14ac:dyDescent="0.25">
      <c r="Z577" s="96"/>
      <c r="AA577" s="87"/>
      <c r="AB577" s="87"/>
      <c r="AC577" s="87"/>
      <c r="AD577" s="87"/>
      <c r="AE577" s="87"/>
      <c r="AF577" s="87"/>
      <c r="AG577" s="87"/>
      <c r="AH577" s="87"/>
      <c r="AI577" s="87"/>
      <c r="AJ577" s="96"/>
      <c r="AK577" s="96"/>
      <c r="AL577" s="96"/>
      <c r="AM577" s="96"/>
      <c r="AN577" s="96"/>
      <c r="AO577" s="96"/>
      <c r="AP577" s="96"/>
      <c r="AQ577" s="368"/>
      <c r="AR577" s="368"/>
    </row>
    <row r="578" spans="26:61" x14ac:dyDescent="0.25">
      <c r="Z578" s="96"/>
      <c r="AA578" s="87" t="s">
        <v>5</v>
      </c>
      <c r="AB578" s="87"/>
      <c r="AC578" s="87"/>
      <c r="AD578" s="87"/>
      <c r="AE578" s="87" t="s">
        <v>788</v>
      </c>
      <c r="AF578" s="87"/>
      <c r="AG578" s="87"/>
      <c r="AH578" s="87"/>
      <c r="AI578" s="87"/>
      <c r="AJ578" s="96"/>
      <c r="AK578" s="96"/>
      <c r="AL578" s="96"/>
      <c r="AM578" s="96"/>
      <c r="AN578" s="96"/>
      <c r="AO578" s="96"/>
      <c r="AP578" s="96"/>
      <c r="AQ578" s="368"/>
      <c r="AR578" s="368"/>
      <c r="BA578" s="1" t="s">
        <v>990</v>
      </c>
      <c r="BE578" s="1" t="s">
        <v>991</v>
      </c>
    </row>
    <row r="579" spans="26:61" x14ac:dyDescent="0.25">
      <c r="Z579" s="96"/>
      <c r="AA579" s="87" t="s">
        <v>6</v>
      </c>
      <c r="AB579" s="87"/>
      <c r="AC579" s="87"/>
      <c r="AD579" s="87"/>
      <c r="AE579" s="87" t="s">
        <v>789</v>
      </c>
      <c r="AF579" s="87"/>
      <c r="AG579" s="87"/>
      <c r="AH579" s="87"/>
      <c r="AI579" s="87"/>
      <c r="AJ579" s="96"/>
      <c r="AK579" s="96"/>
      <c r="AL579" s="96"/>
      <c r="AM579" s="96"/>
      <c r="AN579" s="96"/>
      <c r="AO579" s="96"/>
      <c r="AP579" s="96"/>
      <c r="AQ579" s="368"/>
      <c r="AR579" s="368"/>
      <c r="BA579" s="1" t="s">
        <v>992</v>
      </c>
      <c r="BE579" s="1" t="s">
        <v>993</v>
      </c>
    </row>
    <row r="580" spans="26:61" x14ac:dyDescent="0.25">
      <c r="Z580" s="96"/>
      <c r="AA580" s="87" t="s">
        <v>790</v>
      </c>
      <c r="AB580" s="87"/>
      <c r="AC580" s="87"/>
      <c r="AD580" s="87"/>
      <c r="AE580" s="87" t="s">
        <v>621</v>
      </c>
      <c r="AF580" s="87"/>
      <c r="AG580" s="87"/>
      <c r="AH580" s="87"/>
      <c r="AI580" s="87"/>
      <c r="AJ580" s="96"/>
      <c r="AK580" s="96"/>
      <c r="AL580" s="96"/>
      <c r="AM580" s="96"/>
      <c r="AN580" s="96"/>
      <c r="AO580" s="96"/>
      <c r="AP580" s="96"/>
      <c r="AQ580" s="368"/>
      <c r="AR580" s="368"/>
      <c r="BA580" s="1" t="s">
        <v>994</v>
      </c>
      <c r="BE580" s="1" t="s">
        <v>989</v>
      </c>
    </row>
    <row r="581" spans="26:61" ht="14.4" x14ac:dyDescent="0.3">
      <c r="Z581" s="96"/>
      <c r="AA581" s="1001" t="s">
        <v>1422</v>
      </c>
      <c r="AB581" s="1001"/>
      <c r="AC581" s="1001"/>
      <c r="AD581" s="1001"/>
      <c r="AE581" s="1001"/>
      <c r="AF581" s="1001"/>
      <c r="AG581" s="87"/>
      <c r="AH581" s="87"/>
      <c r="AI581" s="87"/>
      <c r="AJ581" s="96"/>
      <c r="AK581" s="96"/>
      <c r="AL581" s="96"/>
      <c r="AM581" s="96"/>
      <c r="AN581" s="96"/>
      <c r="AO581" s="96"/>
      <c r="AP581" s="96"/>
      <c r="AQ581" s="368"/>
      <c r="AR581" s="368"/>
      <c r="BA581" s="838" t="s">
        <v>1423</v>
      </c>
    </row>
    <row r="582" spans="26:61" x14ac:dyDescent="0.25">
      <c r="Z582" s="96"/>
      <c r="AA582" s="87" t="s">
        <v>572</v>
      </c>
      <c r="AB582" s="87"/>
      <c r="AC582" s="87"/>
      <c r="AD582" s="87"/>
      <c r="AE582" s="87"/>
      <c r="AF582" s="87"/>
      <c r="AG582" s="87"/>
      <c r="AH582" s="87"/>
      <c r="AI582" s="87"/>
      <c r="AJ582" s="96"/>
      <c r="AK582" s="96"/>
      <c r="AL582" s="96"/>
      <c r="AM582" s="96"/>
      <c r="AN582" s="96"/>
      <c r="AO582" s="96"/>
      <c r="AP582" s="96"/>
      <c r="AQ582" s="368"/>
      <c r="AR582" s="368"/>
      <c r="BA582" s="1" t="s">
        <v>995</v>
      </c>
    </row>
    <row r="583" spans="26:61" x14ac:dyDescent="0.25">
      <c r="Z583" s="96"/>
      <c r="AA583" s="87" t="s">
        <v>7</v>
      </c>
      <c r="AB583" s="87"/>
      <c r="AC583" s="87"/>
      <c r="AD583" s="87"/>
      <c r="AE583" s="87" t="s">
        <v>792</v>
      </c>
      <c r="AF583" s="87"/>
      <c r="AG583" s="87"/>
      <c r="AH583" s="87"/>
      <c r="AI583" s="87"/>
      <c r="AJ583" s="96"/>
      <c r="AK583" s="96"/>
      <c r="AL583" s="96"/>
      <c r="AM583" s="96"/>
      <c r="AN583" s="96"/>
      <c r="AO583" s="96"/>
      <c r="AP583" s="96"/>
      <c r="AQ583" s="368"/>
      <c r="AR583" s="368"/>
      <c r="BA583" s="1" t="s">
        <v>996</v>
      </c>
      <c r="BE583" s="1" t="s">
        <v>1009</v>
      </c>
    </row>
    <row r="584" spans="26:61" x14ac:dyDescent="0.25">
      <c r="Z584" s="96"/>
      <c r="AA584" s="87" t="s">
        <v>8</v>
      </c>
      <c r="AB584" s="87"/>
      <c r="AC584" s="87"/>
      <c r="AD584" s="87"/>
      <c r="AE584" s="87" t="s">
        <v>771</v>
      </c>
      <c r="AF584" s="87"/>
      <c r="AG584" s="87"/>
      <c r="AH584" s="87"/>
      <c r="AI584" s="87"/>
      <c r="AJ584" s="96"/>
      <c r="AK584" s="96"/>
      <c r="AL584" s="96"/>
      <c r="AM584" s="96"/>
      <c r="AN584" s="96"/>
      <c r="AO584" s="96"/>
      <c r="AP584" s="96"/>
      <c r="AQ584" s="368"/>
      <c r="AR584" s="368"/>
      <c r="BA584" s="1" t="s">
        <v>997</v>
      </c>
      <c r="BE584" s="1" t="s">
        <v>770</v>
      </c>
    </row>
    <row r="585" spans="26:61" x14ac:dyDescent="0.25">
      <c r="Z585" s="96"/>
      <c r="AA585" s="87" t="s">
        <v>9</v>
      </c>
      <c r="AB585" s="87"/>
      <c r="AC585" s="87"/>
      <c r="AD585" s="87"/>
      <c r="AE585" s="87" t="s">
        <v>42</v>
      </c>
      <c r="AF585" s="87"/>
      <c r="AG585" s="87"/>
      <c r="AH585" s="87"/>
      <c r="AI585" s="87"/>
      <c r="AJ585" s="96"/>
      <c r="AK585" s="96"/>
      <c r="AL585" s="96"/>
      <c r="AM585" s="96"/>
      <c r="AN585" s="96"/>
      <c r="AO585" s="96"/>
      <c r="AP585" s="96"/>
      <c r="AQ585" s="368"/>
      <c r="AR585" s="368"/>
      <c r="BA585" s="1" t="s">
        <v>999</v>
      </c>
      <c r="BE585" s="1" t="s">
        <v>1000</v>
      </c>
    </row>
    <row r="586" spans="26:61" x14ac:dyDescent="0.25">
      <c r="Z586" s="96"/>
      <c r="AA586" s="87" t="s">
        <v>511</v>
      </c>
      <c r="AB586" s="87"/>
      <c r="AC586" s="87"/>
      <c r="AD586" s="87"/>
      <c r="AE586" s="87" t="s">
        <v>42</v>
      </c>
      <c r="AF586" s="87"/>
      <c r="AG586" s="87"/>
      <c r="AH586" s="87"/>
      <c r="AI586" s="87" t="s">
        <v>1264</v>
      </c>
      <c r="AJ586" s="96"/>
      <c r="AK586" s="96"/>
      <c r="AL586" s="96"/>
      <c r="AM586" s="96"/>
      <c r="AN586" s="96"/>
      <c r="AO586" s="96"/>
      <c r="AP586" s="96"/>
      <c r="AQ586" s="368"/>
      <c r="AR586" s="368"/>
      <c r="BA586" s="1" t="s">
        <v>1001</v>
      </c>
      <c r="BE586" s="1" t="s">
        <v>1000</v>
      </c>
      <c r="BI586" s="1" t="s">
        <v>1271</v>
      </c>
    </row>
    <row r="587" spans="26:61" x14ac:dyDescent="0.25">
      <c r="Z587" s="96"/>
      <c r="AA587" s="87" t="s">
        <v>10</v>
      </c>
      <c r="AB587" s="87"/>
      <c r="AC587" s="87"/>
      <c r="AD587" s="87"/>
      <c r="AE587" s="87" t="s">
        <v>42</v>
      </c>
      <c r="AF587" s="87"/>
      <c r="AG587" s="87"/>
      <c r="AH587" s="87"/>
      <c r="AI587" s="87"/>
      <c r="AJ587" s="96"/>
      <c r="AK587" s="96"/>
      <c r="AL587" s="96"/>
      <c r="AM587" s="96"/>
      <c r="AN587" s="96"/>
      <c r="AO587" s="96"/>
      <c r="AP587" s="96"/>
      <c r="AQ587" s="368"/>
      <c r="AR587" s="368"/>
      <c r="BA587" s="1" t="s">
        <v>1002</v>
      </c>
      <c r="BE587" s="1" t="s">
        <v>1000</v>
      </c>
    </row>
    <row r="588" spans="26:61" x14ac:dyDescent="0.25">
      <c r="Z588" s="96"/>
      <c r="AA588" s="87" t="s">
        <v>11</v>
      </c>
      <c r="AB588" s="87"/>
      <c r="AC588" s="87"/>
      <c r="AD588" s="87"/>
      <c r="AE588" s="87" t="s">
        <v>1129</v>
      </c>
      <c r="AF588" s="87"/>
      <c r="AG588" s="87"/>
      <c r="AH588" s="87"/>
      <c r="AI588" s="87"/>
      <c r="AJ588" s="96"/>
      <c r="AK588" s="96"/>
      <c r="AL588" s="96"/>
      <c r="AM588" s="96"/>
      <c r="AN588" s="96"/>
      <c r="AO588" s="96"/>
      <c r="AP588" s="96"/>
      <c r="AQ588" s="368"/>
      <c r="AR588" s="368"/>
      <c r="BA588" s="1" t="s">
        <v>1003</v>
      </c>
      <c r="BE588" s="87" t="s">
        <v>1187</v>
      </c>
    </row>
    <row r="589" spans="26:61" x14ac:dyDescent="0.25">
      <c r="Z589" s="96"/>
      <c r="AA589" s="87" t="s">
        <v>78</v>
      </c>
      <c r="AB589" s="87"/>
      <c r="AC589" s="87"/>
      <c r="AD589" s="87"/>
      <c r="AE589" s="87" t="s">
        <v>792</v>
      </c>
      <c r="AF589" s="87"/>
      <c r="AG589" s="87" t="s">
        <v>1035</v>
      </c>
      <c r="AH589" s="87"/>
      <c r="AI589" s="87"/>
      <c r="AJ589" s="96"/>
      <c r="AK589" s="96"/>
      <c r="AL589" s="96"/>
      <c r="AM589" s="96"/>
      <c r="AN589" s="96"/>
      <c r="AO589" s="96"/>
      <c r="AP589" s="96"/>
      <c r="AQ589" s="368"/>
      <c r="AR589" s="368"/>
      <c r="BA589" s="1" t="s">
        <v>1004</v>
      </c>
      <c r="BE589" s="96" t="s">
        <v>1009</v>
      </c>
      <c r="BG589" s="1" t="s">
        <v>1005</v>
      </c>
    </row>
    <row r="590" spans="26:61" x14ac:dyDescent="0.25">
      <c r="Z590" s="96"/>
      <c r="AA590" s="87" t="s">
        <v>966</v>
      </c>
      <c r="AB590" s="87"/>
      <c r="AC590" s="87"/>
      <c r="AD590" s="87"/>
      <c r="AE590" s="87" t="s">
        <v>79</v>
      </c>
      <c r="AF590" s="87"/>
      <c r="AG590" s="87" t="s">
        <v>1036</v>
      </c>
      <c r="AH590" s="87"/>
      <c r="AI590" s="87"/>
      <c r="AJ590" s="96"/>
      <c r="AK590" s="96"/>
      <c r="AL590" s="96"/>
      <c r="AM590" s="96"/>
      <c r="AN590" s="96"/>
      <c r="AO590" s="96"/>
      <c r="AP590" s="96"/>
      <c r="AQ590" s="368"/>
      <c r="AR590" s="368"/>
      <c r="BA590" s="1" t="s">
        <v>967</v>
      </c>
      <c r="BE590" s="96" t="s">
        <v>1006</v>
      </c>
      <c r="BG590" s="1" t="s">
        <v>1007</v>
      </c>
    </row>
    <row r="591" spans="26:61" x14ac:dyDescent="0.25">
      <c r="Z591" s="96"/>
      <c r="AA591" s="87" t="s">
        <v>735</v>
      </c>
      <c r="AB591" s="87"/>
      <c r="AC591" s="87"/>
      <c r="AD591" s="87"/>
      <c r="AE591" s="87" t="s">
        <v>24</v>
      </c>
      <c r="AF591" s="87"/>
      <c r="AG591" s="87"/>
      <c r="AH591" s="87"/>
      <c r="AI591" s="87"/>
      <c r="AJ591" s="96"/>
      <c r="AK591" s="96"/>
      <c r="AL591" s="96"/>
      <c r="AM591" s="96"/>
      <c r="AN591" s="96"/>
      <c r="AO591" s="96"/>
      <c r="AP591" s="96"/>
      <c r="AQ591" s="368"/>
      <c r="AR591" s="368"/>
      <c r="BA591" s="96" t="s">
        <v>722</v>
      </c>
      <c r="BE591" s="96" t="s">
        <v>657</v>
      </c>
    </row>
    <row r="592" spans="26:61" x14ac:dyDescent="0.25">
      <c r="Z592" s="96"/>
      <c r="AA592" s="87"/>
      <c r="AB592" s="87"/>
      <c r="AC592" s="87"/>
      <c r="AD592" s="87"/>
      <c r="AE592" s="87"/>
      <c r="AF592" s="87"/>
      <c r="AG592" s="87"/>
      <c r="AH592" s="87"/>
      <c r="AI592" s="87"/>
      <c r="AJ592" s="96"/>
      <c r="AK592" s="96"/>
      <c r="AL592" s="96"/>
      <c r="AM592" s="96"/>
      <c r="AN592" s="96"/>
      <c r="AO592" s="96"/>
      <c r="AP592" s="96"/>
      <c r="AQ592" s="368"/>
      <c r="AR592" s="368"/>
      <c r="BA592" s="96"/>
      <c r="BE592" s="96"/>
    </row>
    <row r="593" spans="26:61" x14ac:dyDescent="0.25">
      <c r="Z593" s="96"/>
      <c r="AA593" s="87" t="s">
        <v>7</v>
      </c>
      <c r="AB593" s="87"/>
      <c r="AC593" s="87"/>
      <c r="AD593" s="87"/>
      <c r="AE593" s="87" t="s">
        <v>792</v>
      </c>
      <c r="AF593" s="87"/>
      <c r="AG593" s="87"/>
      <c r="AH593" s="87"/>
      <c r="AI593" s="87"/>
      <c r="AJ593" s="96"/>
      <c r="AK593" s="96"/>
      <c r="AL593" s="96"/>
      <c r="AM593" s="96"/>
      <c r="AN593" s="96"/>
      <c r="AO593" s="96"/>
      <c r="AP593" s="96"/>
      <c r="AQ593" s="368"/>
      <c r="AR593" s="368"/>
      <c r="BA593" s="1" t="s">
        <v>996</v>
      </c>
      <c r="BE593" s="96" t="s">
        <v>1009</v>
      </c>
    </row>
    <row r="594" spans="26:61" x14ac:dyDescent="0.25">
      <c r="Z594" s="96"/>
      <c r="AA594" s="87" t="s">
        <v>8</v>
      </c>
      <c r="AB594" s="87"/>
      <c r="AC594" s="87"/>
      <c r="AD594" s="87"/>
      <c r="AE594" s="87" t="s">
        <v>771</v>
      </c>
      <c r="AF594" s="87"/>
      <c r="AG594" s="87"/>
      <c r="AH594" s="87"/>
      <c r="AI594" s="87"/>
      <c r="AJ594" s="96"/>
      <c r="AK594" s="96"/>
      <c r="AL594" s="96"/>
      <c r="AM594" s="96"/>
      <c r="AN594" s="96"/>
      <c r="AO594" s="96"/>
      <c r="AP594" s="96"/>
      <c r="AQ594" s="368"/>
      <c r="AR594" s="368"/>
      <c r="BA594" s="1" t="s">
        <v>997</v>
      </c>
      <c r="BE594" s="1" t="s">
        <v>770</v>
      </c>
    </row>
    <row r="595" spans="26:61" x14ac:dyDescent="0.25">
      <c r="Z595" s="96"/>
      <c r="AA595" s="87" t="s">
        <v>9</v>
      </c>
      <c r="AB595" s="87"/>
      <c r="AC595" s="87"/>
      <c r="AD595" s="87"/>
      <c r="AE595" s="87" t="s">
        <v>42</v>
      </c>
      <c r="AF595" s="87"/>
      <c r="AG595" s="87"/>
      <c r="AH595" s="87"/>
      <c r="AI595" s="87"/>
      <c r="AJ595" s="96"/>
      <c r="AK595" s="96"/>
      <c r="AL595" s="96"/>
      <c r="AM595" s="96"/>
      <c r="AN595" s="96"/>
      <c r="AO595" s="96"/>
      <c r="AP595" s="96"/>
      <c r="AQ595" s="368"/>
      <c r="AR595" s="368"/>
      <c r="BA595" s="1" t="s">
        <v>999</v>
      </c>
      <c r="BE595" s="96" t="s">
        <v>1000</v>
      </c>
    </row>
    <row r="596" spans="26:61" x14ac:dyDescent="0.25">
      <c r="Z596" s="96"/>
      <c r="AA596" s="87" t="s">
        <v>511</v>
      </c>
      <c r="AB596" s="87"/>
      <c r="AC596" s="87"/>
      <c r="AD596" s="87"/>
      <c r="AE596" s="87" t="s">
        <v>42</v>
      </c>
      <c r="AF596" s="87"/>
      <c r="AG596" s="87"/>
      <c r="AH596" s="87"/>
      <c r="AI596" s="87" t="s">
        <v>1264</v>
      </c>
      <c r="AJ596" s="96"/>
      <c r="AK596" s="96"/>
      <c r="AL596" s="96"/>
      <c r="AM596" s="96"/>
      <c r="AN596" s="96"/>
      <c r="AO596" s="96"/>
      <c r="AP596" s="96"/>
      <c r="AQ596" s="368"/>
      <c r="AR596" s="368"/>
      <c r="BA596" s="1" t="s">
        <v>1001</v>
      </c>
      <c r="BE596" s="1" t="s">
        <v>1000</v>
      </c>
      <c r="BI596" s="1" t="s">
        <v>1271</v>
      </c>
    </row>
    <row r="597" spans="26:61" x14ac:dyDescent="0.25">
      <c r="Z597" s="96"/>
      <c r="AA597" s="87" t="s">
        <v>10</v>
      </c>
      <c r="AB597" s="87"/>
      <c r="AC597" s="87"/>
      <c r="AD597" s="87"/>
      <c r="AE597" s="87" t="s">
        <v>42</v>
      </c>
      <c r="AF597" s="87"/>
      <c r="AG597" s="87"/>
      <c r="AH597" s="87"/>
      <c r="AI597" s="87"/>
      <c r="AJ597" s="96"/>
      <c r="AK597" s="96"/>
      <c r="AL597" s="96"/>
      <c r="AM597" s="96"/>
      <c r="AN597" s="96"/>
      <c r="AO597" s="96"/>
      <c r="AP597" s="96"/>
      <c r="AQ597" s="368"/>
      <c r="AR597" s="368"/>
      <c r="BA597" s="1" t="s">
        <v>1008</v>
      </c>
      <c r="BE597" s="96" t="s">
        <v>1000</v>
      </c>
    </row>
    <row r="598" spans="26:61" x14ac:dyDescent="0.25">
      <c r="Z598" s="96"/>
      <c r="AA598" s="87" t="s">
        <v>11</v>
      </c>
      <c r="AB598" s="87"/>
      <c r="AC598" s="87"/>
      <c r="AD598" s="87"/>
      <c r="AE598" s="87" t="s">
        <v>1129</v>
      </c>
      <c r="AF598" s="87"/>
      <c r="AG598" s="87"/>
      <c r="AH598" s="87"/>
      <c r="AI598" s="87"/>
      <c r="AJ598" s="96"/>
      <c r="AK598" s="96"/>
      <c r="AL598" s="96"/>
      <c r="AM598" s="96"/>
      <c r="AN598" s="96"/>
      <c r="AO598" s="96"/>
      <c r="AP598" s="96"/>
      <c r="AQ598" s="368"/>
      <c r="AR598" s="368"/>
      <c r="BA598" s="1" t="s">
        <v>1003</v>
      </c>
      <c r="BE598" s="87" t="s">
        <v>1187</v>
      </c>
    </row>
    <row r="599" spans="26:61" x14ac:dyDescent="0.25">
      <c r="Z599" s="96"/>
      <c r="AA599" s="87" t="s">
        <v>78</v>
      </c>
      <c r="AB599" s="87"/>
      <c r="AC599" s="87"/>
      <c r="AD599" s="87"/>
      <c r="AE599" s="87" t="s">
        <v>792</v>
      </c>
      <c r="AF599" s="87"/>
      <c r="AG599" s="87" t="s">
        <v>1035</v>
      </c>
      <c r="AH599" s="87"/>
      <c r="AI599" s="87"/>
      <c r="AJ599" s="96"/>
      <c r="AK599" s="96"/>
      <c r="AL599" s="96"/>
      <c r="AM599" s="96"/>
      <c r="AN599" s="96"/>
      <c r="AO599" s="96"/>
      <c r="AP599" s="96"/>
      <c r="AQ599" s="368"/>
      <c r="AR599" s="368"/>
      <c r="BA599" s="1" t="s">
        <v>1004</v>
      </c>
      <c r="BE599" s="96" t="s">
        <v>1009</v>
      </c>
      <c r="BG599" s="1" t="s">
        <v>1005</v>
      </c>
    </row>
    <row r="600" spans="26:61" x14ac:dyDescent="0.25">
      <c r="Z600" s="96"/>
      <c r="AA600" s="87" t="s">
        <v>966</v>
      </c>
      <c r="AB600" s="87"/>
      <c r="AC600" s="87"/>
      <c r="AD600" s="87"/>
      <c r="AE600" s="87" t="s">
        <v>79</v>
      </c>
      <c r="AF600" s="87"/>
      <c r="AG600" s="87" t="s">
        <v>1036</v>
      </c>
      <c r="AH600" s="87"/>
      <c r="AI600" s="87"/>
      <c r="AJ600" s="96"/>
      <c r="AK600" s="96"/>
      <c r="AL600" s="96"/>
      <c r="AM600" s="96"/>
      <c r="AN600" s="96"/>
      <c r="AO600" s="96"/>
      <c r="AP600" s="96"/>
      <c r="AQ600" s="368"/>
      <c r="AR600" s="368"/>
      <c r="BA600" s="1" t="s">
        <v>967</v>
      </c>
      <c r="BE600" s="96" t="s">
        <v>1006</v>
      </c>
      <c r="BG600" s="1" t="s">
        <v>1007</v>
      </c>
    </row>
    <row r="601" spans="26:61" x14ac:dyDescent="0.25">
      <c r="Z601" s="96"/>
      <c r="AA601" s="87" t="s">
        <v>735</v>
      </c>
      <c r="AB601" s="87"/>
      <c r="AC601" s="87"/>
      <c r="AD601" s="87"/>
      <c r="AE601" s="87" t="s">
        <v>24</v>
      </c>
      <c r="AF601" s="87"/>
      <c r="AG601" s="87"/>
      <c r="AH601" s="87"/>
      <c r="AI601" s="87"/>
      <c r="AJ601" s="96"/>
      <c r="AK601" s="96"/>
      <c r="AL601" s="96"/>
      <c r="AM601" s="96"/>
      <c r="AN601" s="96"/>
      <c r="AO601" s="96"/>
      <c r="AP601" s="96"/>
      <c r="AQ601" s="368"/>
      <c r="AR601" s="368"/>
      <c r="BA601" s="96" t="s">
        <v>722</v>
      </c>
      <c r="BE601" s="96" t="s">
        <v>657</v>
      </c>
    </row>
    <row r="602" spans="26:61" x14ac:dyDescent="0.25">
      <c r="Z602" s="96"/>
      <c r="AA602" s="87"/>
      <c r="AB602" s="87"/>
      <c r="AC602" s="87"/>
      <c r="AD602" s="87"/>
      <c r="AE602" s="87"/>
      <c r="AF602" s="87"/>
      <c r="AG602" s="87"/>
      <c r="AH602" s="87"/>
      <c r="AI602" s="87"/>
      <c r="AJ602" s="96"/>
      <c r="AK602" s="96"/>
      <c r="AL602" s="96"/>
      <c r="AM602" s="96"/>
      <c r="AN602" s="96"/>
      <c r="AO602" s="96"/>
      <c r="AP602" s="96"/>
      <c r="AQ602" s="368"/>
      <c r="AR602" s="368"/>
      <c r="BA602" s="96"/>
      <c r="BE602" s="96"/>
    </row>
    <row r="603" spans="26:61" x14ac:dyDescent="0.25">
      <c r="Z603" s="96"/>
      <c r="AA603" s="87" t="s">
        <v>7</v>
      </c>
      <c r="AB603" s="87"/>
      <c r="AC603" s="87"/>
      <c r="AD603" s="87"/>
      <c r="AE603" s="87" t="s">
        <v>792</v>
      </c>
      <c r="AF603" s="87"/>
      <c r="AG603" s="87"/>
      <c r="AH603" s="87"/>
      <c r="AI603" s="87"/>
      <c r="AJ603" s="96"/>
      <c r="AK603" s="96"/>
      <c r="AL603" s="96"/>
      <c r="AM603" s="96"/>
      <c r="AN603" s="96"/>
      <c r="AO603" s="96"/>
      <c r="AP603" s="96"/>
      <c r="AQ603" s="368"/>
      <c r="AR603" s="368"/>
      <c r="BA603" s="1" t="s">
        <v>996</v>
      </c>
      <c r="BE603" s="96" t="s">
        <v>1009</v>
      </c>
    </row>
    <row r="604" spans="26:61" x14ac:dyDescent="0.25">
      <c r="Z604" s="96"/>
      <c r="AA604" s="87" t="s">
        <v>8</v>
      </c>
      <c r="AB604" s="87"/>
      <c r="AC604" s="87"/>
      <c r="AD604" s="87"/>
      <c r="AE604" s="87" t="s">
        <v>771</v>
      </c>
      <c r="AF604" s="87"/>
      <c r="AG604" s="87"/>
      <c r="AH604" s="87"/>
      <c r="AI604" s="87"/>
      <c r="AJ604" s="96"/>
      <c r="AK604" s="96"/>
      <c r="AL604" s="96"/>
      <c r="AM604" s="96"/>
      <c r="AN604" s="96"/>
      <c r="AO604" s="96"/>
      <c r="AP604" s="96"/>
      <c r="AQ604" s="368"/>
      <c r="AR604" s="368"/>
      <c r="BA604" s="1" t="s">
        <v>997</v>
      </c>
      <c r="BE604" s="1" t="s">
        <v>770</v>
      </c>
    </row>
    <row r="605" spans="26:61" x14ac:dyDescent="0.25">
      <c r="Z605" s="96"/>
      <c r="AA605" s="87" t="s">
        <v>9</v>
      </c>
      <c r="AB605" s="87"/>
      <c r="AC605" s="87"/>
      <c r="AD605" s="87"/>
      <c r="AE605" s="87" t="s">
        <v>42</v>
      </c>
      <c r="AF605" s="87"/>
      <c r="AG605" s="87"/>
      <c r="AH605" s="87"/>
      <c r="AI605" s="87"/>
      <c r="AJ605" s="96"/>
      <c r="AK605" s="96"/>
      <c r="AL605" s="96"/>
      <c r="AM605" s="96"/>
      <c r="AN605" s="96"/>
      <c r="AO605" s="96"/>
      <c r="AP605" s="96"/>
      <c r="AQ605" s="368"/>
      <c r="AR605" s="368"/>
      <c r="BA605" s="1" t="s">
        <v>999</v>
      </c>
      <c r="BE605" s="96" t="s">
        <v>1000</v>
      </c>
    </row>
    <row r="606" spans="26:61" x14ac:dyDescent="0.25">
      <c r="Z606" s="96"/>
      <c r="AA606" s="87" t="s">
        <v>511</v>
      </c>
      <c r="AB606" s="87"/>
      <c r="AC606" s="87"/>
      <c r="AD606" s="87"/>
      <c r="AE606" s="87" t="s">
        <v>42</v>
      </c>
      <c r="AF606" s="87"/>
      <c r="AG606" s="87"/>
      <c r="AH606" s="87"/>
      <c r="AI606" s="87" t="s">
        <v>1264</v>
      </c>
      <c r="AJ606" s="96"/>
      <c r="AK606" s="96"/>
      <c r="AL606" s="96"/>
      <c r="AM606" s="96"/>
      <c r="AN606" s="96"/>
      <c r="AO606" s="96"/>
      <c r="AP606" s="96"/>
      <c r="AQ606" s="368"/>
      <c r="AR606" s="368"/>
      <c r="BA606" s="1" t="s">
        <v>1001</v>
      </c>
      <c r="BE606" s="1" t="s">
        <v>1000</v>
      </c>
      <c r="BI606" s="1" t="s">
        <v>1271</v>
      </c>
    </row>
    <row r="607" spans="26:61" x14ac:dyDescent="0.25">
      <c r="Z607" s="96"/>
      <c r="AA607" s="87" t="s">
        <v>10</v>
      </c>
      <c r="AB607" s="87"/>
      <c r="AC607" s="87"/>
      <c r="AD607" s="87"/>
      <c r="AE607" s="87" t="s">
        <v>42</v>
      </c>
      <c r="AF607" s="87"/>
      <c r="AG607" s="87"/>
      <c r="AH607" s="87"/>
      <c r="AI607" s="87"/>
      <c r="AJ607" s="96"/>
      <c r="AK607" s="96"/>
      <c r="AL607" s="96"/>
      <c r="AM607" s="96"/>
      <c r="AN607" s="96"/>
      <c r="AO607" s="96"/>
      <c r="AP607" s="96"/>
      <c r="AQ607" s="368"/>
      <c r="AR607" s="368"/>
      <c r="BA607" s="1" t="s">
        <v>1008</v>
      </c>
      <c r="BE607" s="96" t="s">
        <v>1000</v>
      </c>
    </row>
    <row r="608" spans="26:61" x14ac:dyDescent="0.25">
      <c r="Z608" s="96"/>
      <c r="AA608" s="87" t="s">
        <v>11</v>
      </c>
      <c r="AB608" s="87"/>
      <c r="AC608" s="87"/>
      <c r="AD608" s="87"/>
      <c r="AE608" s="87" t="s">
        <v>1129</v>
      </c>
      <c r="AF608" s="87"/>
      <c r="AG608" s="87"/>
      <c r="AH608" s="87"/>
      <c r="AI608" s="87"/>
      <c r="AJ608" s="96"/>
      <c r="AK608" s="96"/>
      <c r="AL608" s="96"/>
      <c r="AM608" s="96"/>
      <c r="AN608" s="96"/>
      <c r="AO608" s="96"/>
      <c r="AP608" s="96"/>
      <c r="AQ608" s="368"/>
      <c r="AR608" s="368"/>
      <c r="BA608" s="1" t="s">
        <v>1003</v>
      </c>
      <c r="BE608" s="87" t="s">
        <v>1187</v>
      </c>
    </row>
    <row r="609" spans="26:61" x14ac:dyDescent="0.25">
      <c r="Z609" s="96"/>
      <c r="AA609" s="87" t="s">
        <v>78</v>
      </c>
      <c r="AB609" s="87"/>
      <c r="AC609" s="87"/>
      <c r="AD609" s="87"/>
      <c r="AE609" s="87" t="s">
        <v>792</v>
      </c>
      <c r="AF609" s="87"/>
      <c r="AG609" s="87" t="s">
        <v>1035</v>
      </c>
      <c r="AH609" s="87"/>
      <c r="AI609" s="87"/>
      <c r="AJ609" s="96"/>
      <c r="AK609" s="96"/>
      <c r="AL609" s="96"/>
      <c r="AM609" s="96"/>
      <c r="AN609" s="96"/>
      <c r="AO609" s="96"/>
      <c r="AP609" s="96"/>
      <c r="AQ609" s="368"/>
      <c r="AR609" s="368"/>
      <c r="BA609" s="1" t="s">
        <v>1004</v>
      </c>
      <c r="BE609" s="1" t="s">
        <v>1009</v>
      </c>
      <c r="BG609" s="1" t="s">
        <v>1005</v>
      </c>
    </row>
    <row r="610" spans="26:61" x14ac:dyDescent="0.25">
      <c r="Z610" s="96"/>
      <c r="AA610" s="87" t="s">
        <v>966</v>
      </c>
      <c r="AB610" s="87"/>
      <c r="AC610" s="87"/>
      <c r="AD610" s="87"/>
      <c r="AE610" s="87" t="s">
        <v>79</v>
      </c>
      <c r="AF610" s="87"/>
      <c r="AG610" s="87" t="s">
        <v>1036</v>
      </c>
      <c r="AH610" s="87"/>
      <c r="AI610" s="87"/>
      <c r="AJ610" s="96"/>
      <c r="AK610" s="96"/>
      <c r="AL610" s="96"/>
      <c r="AM610" s="96"/>
      <c r="AN610" s="96"/>
      <c r="AO610" s="96"/>
      <c r="AP610" s="96"/>
      <c r="AQ610" s="368"/>
      <c r="AR610" s="368"/>
      <c r="BA610" s="1" t="s">
        <v>967</v>
      </c>
      <c r="BE610" s="1" t="s">
        <v>1006</v>
      </c>
      <c r="BG610" s="1" t="s">
        <v>1007</v>
      </c>
    </row>
    <row r="611" spans="26:61" x14ac:dyDescent="0.25">
      <c r="Z611" s="96"/>
      <c r="AA611" s="87" t="s">
        <v>735</v>
      </c>
      <c r="AB611" s="87"/>
      <c r="AC611" s="87"/>
      <c r="AD611" s="87"/>
      <c r="AE611" s="87" t="s">
        <v>24</v>
      </c>
      <c r="AF611" s="87"/>
      <c r="AG611" s="87"/>
      <c r="AH611" s="87"/>
      <c r="AI611" s="87"/>
      <c r="AJ611" s="96"/>
      <c r="AK611" s="96"/>
      <c r="AL611" s="96"/>
      <c r="AM611" s="96"/>
      <c r="AN611" s="96"/>
      <c r="AO611" s="96"/>
      <c r="AP611" s="96"/>
      <c r="AQ611" s="368"/>
      <c r="AR611" s="368"/>
      <c r="BA611" s="96" t="s">
        <v>722</v>
      </c>
      <c r="BE611" s="96" t="s">
        <v>657</v>
      </c>
    </row>
    <row r="612" spans="26:61" ht="14.4" x14ac:dyDescent="0.3">
      <c r="Z612" s="96"/>
      <c r="AA612" s="87" t="s">
        <v>1419</v>
      </c>
      <c r="AB612" s="87"/>
      <c r="AC612" s="87"/>
      <c r="AD612" s="87"/>
      <c r="AE612" s="87"/>
      <c r="AF612" s="87"/>
      <c r="AG612" s="87"/>
      <c r="AH612" s="87"/>
      <c r="AI612" s="87"/>
      <c r="AJ612" s="96"/>
      <c r="AK612" s="96"/>
      <c r="AL612" s="96"/>
      <c r="AM612" s="96"/>
      <c r="AN612" s="96"/>
      <c r="AO612" s="96"/>
      <c r="AP612" s="96"/>
      <c r="AQ612" s="368"/>
      <c r="AR612" s="368"/>
      <c r="BA612" s="838" t="s">
        <v>1424</v>
      </c>
      <c r="BE612" s="96"/>
    </row>
    <row r="613" spans="26:61" x14ac:dyDescent="0.25">
      <c r="Z613" s="96"/>
      <c r="AA613" s="87" t="s">
        <v>43</v>
      </c>
      <c r="AB613" s="87"/>
      <c r="AC613" s="87"/>
      <c r="AD613" s="87"/>
      <c r="AE613" s="87"/>
      <c r="AF613" s="87"/>
      <c r="AG613" s="87"/>
      <c r="AH613" s="87"/>
      <c r="AI613" s="87" t="s">
        <v>1158</v>
      </c>
      <c r="AJ613" s="96"/>
      <c r="AK613" s="96"/>
      <c r="AL613" s="96"/>
      <c r="AM613" s="96"/>
      <c r="AN613" s="96"/>
      <c r="AO613" s="96"/>
      <c r="AP613" s="96"/>
      <c r="AQ613" s="368"/>
      <c r="AR613" s="368"/>
      <c r="BA613" s="1" t="s">
        <v>1010</v>
      </c>
      <c r="BI613" s="1" t="s">
        <v>516</v>
      </c>
    </row>
    <row r="614" spans="26:61" x14ac:dyDescent="0.25">
      <c r="Z614" s="96"/>
      <c r="AA614" s="87" t="s">
        <v>573</v>
      </c>
      <c r="AB614" s="87"/>
      <c r="AC614" s="87"/>
      <c r="AD614" s="87"/>
      <c r="AE614" s="87"/>
      <c r="AF614" s="87"/>
      <c r="AG614" s="87"/>
      <c r="AH614" s="87"/>
      <c r="AI614" s="87"/>
      <c r="AJ614" s="96"/>
      <c r="AK614" s="96"/>
      <c r="AL614" s="96"/>
      <c r="AM614" s="96"/>
      <c r="AN614" s="96"/>
      <c r="AO614" s="96"/>
      <c r="AP614" s="96"/>
      <c r="AQ614" s="368"/>
      <c r="AR614" s="368"/>
      <c r="BA614" s="1" t="s">
        <v>1011</v>
      </c>
    </row>
    <row r="615" spans="26:61" x14ac:dyDescent="0.25">
      <c r="Z615" s="96"/>
      <c r="AA615" s="87" t="s">
        <v>12</v>
      </c>
      <c r="AB615" s="87"/>
      <c r="AC615" s="87"/>
      <c r="AD615" s="87"/>
      <c r="AE615" s="87" t="s">
        <v>792</v>
      </c>
      <c r="AF615" s="87"/>
      <c r="AG615" s="87"/>
      <c r="AH615" s="87"/>
      <c r="AI615" s="87"/>
      <c r="AJ615" s="96"/>
      <c r="AK615" s="96"/>
      <c r="AL615" s="96"/>
      <c r="AM615" s="96"/>
      <c r="AN615" s="96"/>
      <c r="AO615" s="96"/>
      <c r="AP615" s="96"/>
      <c r="AQ615" s="368"/>
      <c r="AR615" s="368"/>
      <c r="BA615" s="1" t="s">
        <v>1012</v>
      </c>
      <c r="BE615" s="1" t="s">
        <v>1009</v>
      </c>
    </row>
    <row r="616" spans="26:61" x14ac:dyDescent="0.25">
      <c r="Z616" s="96"/>
      <c r="AA616" s="87" t="s">
        <v>13</v>
      </c>
      <c r="AB616" s="87"/>
      <c r="AC616" s="87"/>
      <c r="AD616" s="87"/>
      <c r="AE616" s="87" t="s">
        <v>793</v>
      </c>
      <c r="AF616" s="87"/>
      <c r="AG616" s="87"/>
      <c r="AH616" s="87"/>
      <c r="AI616" s="87"/>
      <c r="AJ616" s="96"/>
      <c r="AK616" s="96"/>
      <c r="AL616" s="96"/>
      <c r="AM616" s="96"/>
      <c r="AN616" s="96"/>
      <c r="AO616" s="96"/>
      <c r="AP616" s="96"/>
      <c r="AQ616" s="368"/>
      <c r="AR616" s="368"/>
      <c r="BA616" s="1" t="s">
        <v>1013</v>
      </c>
      <c r="BE616" s="1" t="s">
        <v>998</v>
      </c>
    </row>
    <row r="617" spans="26:61" x14ac:dyDescent="0.25">
      <c r="Z617" s="96"/>
      <c r="AA617" s="87" t="s">
        <v>735</v>
      </c>
      <c r="AB617" s="87"/>
      <c r="AC617" s="87"/>
      <c r="AD617" s="87"/>
      <c r="AE617" s="87" t="s">
        <v>24</v>
      </c>
      <c r="AF617" s="87"/>
      <c r="AG617" s="87"/>
      <c r="AH617" s="87"/>
      <c r="AI617" s="87"/>
      <c r="AJ617" s="96"/>
      <c r="AK617" s="96"/>
      <c r="AL617" s="96"/>
      <c r="AM617" s="96"/>
      <c r="AN617" s="96"/>
      <c r="AO617" s="96"/>
      <c r="AP617" s="96"/>
      <c r="AQ617" s="368"/>
      <c r="AR617" s="368"/>
      <c r="BA617" s="96" t="s">
        <v>722</v>
      </c>
      <c r="BE617" s="96" t="s">
        <v>657</v>
      </c>
    </row>
    <row r="618" spans="26:61" x14ac:dyDescent="0.25">
      <c r="Z618" s="96"/>
      <c r="AA618" s="87"/>
      <c r="AB618" s="87"/>
      <c r="AC618" s="87"/>
      <c r="AD618" s="87"/>
      <c r="AE618" s="87"/>
      <c r="AF618" s="87"/>
      <c r="AG618" s="87"/>
      <c r="AH618" s="87"/>
      <c r="AI618" s="87"/>
      <c r="AJ618" s="96"/>
      <c r="AK618" s="96"/>
      <c r="AL618" s="96"/>
      <c r="AM618" s="96"/>
      <c r="AN618" s="96"/>
      <c r="AO618" s="96"/>
      <c r="AP618" s="96"/>
      <c r="AQ618" s="368"/>
      <c r="AR618" s="368"/>
      <c r="BA618" s="1" t="s">
        <v>1012</v>
      </c>
      <c r="BE618" s="1" t="s">
        <v>1009</v>
      </c>
    </row>
    <row r="619" spans="26:61" x14ac:dyDescent="0.25">
      <c r="Z619" s="96"/>
      <c r="AA619" s="87"/>
      <c r="AB619" s="87"/>
      <c r="AC619" s="87"/>
      <c r="AD619" s="87"/>
      <c r="AE619" s="87"/>
      <c r="AF619" s="87"/>
      <c r="AG619" s="87"/>
      <c r="AH619" s="87"/>
      <c r="AI619" s="87"/>
      <c r="AJ619" s="96"/>
      <c r="AK619" s="96"/>
      <c r="AL619" s="96"/>
      <c r="AM619" s="96"/>
      <c r="AN619" s="96"/>
      <c r="AO619" s="96"/>
      <c r="AP619" s="96"/>
      <c r="AQ619" s="368"/>
      <c r="AR619" s="368"/>
      <c r="BA619" s="1" t="s">
        <v>1013</v>
      </c>
      <c r="BE619" s="1" t="s">
        <v>998</v>
      </c>
    </row>
    <row r="620" spans="26:61" x14ac:dyDescent="0.25">
      <c r="Z620" s="96"/>
      <c r="AA620" s="87"/>
      <c r="AB620" s="87"/>
      <c r="AC620" s="87"/>
      <c r="AD620" s="87"/>
      <c r="AE620" s="87"/>
      <c r="AF620" s="87"/>
      <c r="AG620" s="87"/>
      <c r="AH620" s="87"/>
      <c r="AI620" s="87"/>
      <c r="AJ620" s="96"/>
      <c r="AK620" s="96"/>
      <c r="AL620" s="96"/>
      <c r="AM620" s="96"/>
      <c r="AN620" s="96"/>
      <c r="AO620" s="96"/>
      <c r="AP620" s="96"/>
      <c r="AQ620" s="368"/>
      <c r="AR620" s="368"/>
    </row>
    <row r="621" spans="26:61" x14ac:dyDescent="0.25">
      <c r="Z621" s="96"/>
      <c r="AA621" s="87"/>
      <c r="AB621" s="87"/>
      <c r="AC621" s="87"/>
      <c r="AD621" s="87"/>
      <c r="AE621" s="87"/>
      <c r="AF621" s="87"/>
      <c r="AG621" s="87"/>
      <c r="AH621" s="87"/>
      <c r="AI621" s="87"/>
      <c r="AJ621" s="96"/>
      <c r="AK621" s="96"/>
      <c r="AL621" s="96"/>
      <c r="AM621" s="96"/>
      <c r="AN621" s="96"/>
      <c r="AO621" s="96"/>
      <c r="AP621" s="96"/>
      <c r="AQ621" s="368"/>
      <c r="AR621" s="368"/>
      <c r="BA621" s="1" t="s">
        <v>1012</v>
      </c>
      <c r="BE621" s="1" t="s">
        <v>1009</v>
      </c>
    </row>
    <row r="622" spans="26:61" x14ac:dyDescent="0.25">
      <c r="Z622" s="96"/>
      <c r="AA622" s="87"/>
      <c r="AB622" s="87"/>
      <c r="AC622" s="87"/>
      <c r="AD622" s="87"/>
      <c r="AE622" s="87"/>
      <c r="AF622" s="87"/>
      <c r="AG622" s="87"/>
      <c r="AH622" s="87"/>
      <c r="AI622" s="87"/>
      <c r="AJ622" s="96"/>
      <c r="AK622" s="96"/>
      <c r="AL622" s="96"/>
      <c r="AM622" s="96"/>
      <c r="AN622" s="96"/>
      <c r="AO622" s="96"/>
      <c r="AP622" s="96"/>
      <c r="AQ622" s="368"/>
      <c r="AR622" s="368"/>
      <c r="BA622" s="1" t="s">
        <v>1013</v>
      </c>
      <c r="BE622" s="1" t="s">
        <v>998</v>
      </c>
    </row>
    <row r="623" spans="26:61" x14ac:dyDescent="0.25">
      <c r="Z623" s="96"/>
      <c r="AA623" s="87"/>
      <c r="AB623" s="87"/>
      <c r="AC623" s="87"/>
      <c r="AD623" s="87"/>
      <c r="AE623" s="87"/>
      <c r="AF623" s="87"/>
      <c r="AG623" s="87"/>
      <c r="AH623" s="87"/>
      <c r="AI623" s="87"/>
      <c r="AJ623" s="96"/>
      <c r="AK623" s="96"/>
      <c r="AL623" s="96"/>
      <c r="AM623" s="96"/>
      <c r="AN623" s="96"/>
      <c r="AO623" s="96"/>
      <c r="AP623" s="96"/>
      <c r="AQ623" s="368"/>
      <c r="AR623" s="368"/>
    </row>
    <row r="624" spans="26:61" x14ac:dyDescent="0.25">
      <c r="Z624" s="96"/>
      <c r="AA624" s="87"/>
      <c r="AB624" s="87"/>
      <c r="AC624" s="87"/>
      <c r="AD624" s="87"/>
      <c r="AE624" s="87"/>
      <c r="AF624" s="87"/>
      <c r="AG624" s="87"/>
      <c r="AH624" s="87"/>
      <c r="AI624" s="87"/>
      <c r="AJ624" s="96"/>
      <c r="AK624" s="96"/>
      <c r="AL624" s="96"/>
      <c r="AM624" s="96"/>
      <c r="AN624" s="96"/>
      <c r="AO624" s="96"/>
      <c r="AP624" s="96"/>
      <c r="AQ624" s="368"/>
      <c r="AR624" s="368"/>
    </row>
    <row r="625" spans="26:65" x14ac:dyDescent="0.25">
      <c r="Z625" s="96"/>
      <c r="AA625" s="87"/>
      <c r="AB625" s="87"/>
      <c r="AC625" s="87"/>
      <c r="AD625" s="87"/>
      <c r="AE625" s="87"/>
      <c r="AF625" s="87"/>
      <c r="AG625" s="87"/>
      <c r="AH625" s="87"/>
      <c r="AI625" s="87"/>
      <c r="AJ625" s="96"/>
      <c r="AK625" s="96"/>
      <c r="AL625" s="96"/>
      <c r="AM625" s="96"/>
      <c r="AN625" s="96"/>
      <c r="AO625" s="96"/>
      <c r="AP625" s="96"/>
      <c r="AQ625" s="368"/>
      <c r="AR625" s="368"/>
    </row>
    <row r="626" spans="26:65" x14ac:dyDescent="0.25">
      <c r="Z626" s="96"/>
      <c r="AA626" s="87"/>
      <c r="AB626" s="87"/>
      <c r="AC626" s="87"/>
      <c r="AD626" s="87"/>
      <c r="AE626" s="87"/>
      <c r="AF626" s="87"/>
      <c r="AG626" s="87"/>
      <c r="AH626" s="87"/>
      <c r="AI626" s="87"/>
      <c r="AJ626" s="96"/>
      <c r="AK626" s="96"/>
      <c r="AL626" s="96"/>
      <c r="AM626" s="96"/>
      <c r="AN626" s="96"/>
      <c r="AO626" s="96"/>
      <c r="AP626" s="96"/>
      <c r="AQ626" s="368"/>
      <c r="AR626" s="368"/>
    </row>
    <row r="627" spans="26:65" x14ac:dyDescent="0.25">
      <c r="Z627" s="96"/>
      <c r="AA627" s="87"/>
      <c r="AB627" s="87"/>
      <c r="AC627" s="87"/>
      <c r="AD627" s="87"/>
      <c r="AE627" s="87"/>
      <c r="AF627" s="87"/>
      <c r="AG627" s="87"/>
      <c r="AH627" s="87"/>
      <c r="AI627" s="87"/>
      <c r="AJ627" s="96"/>
      <c r="AK627" s="96"/>
      <c r="AL627" s="96"/>
      <c r="AM627" s="96"/>
      <c r="AN627" s="96"/>
      <c r="AO627" s="96"/>
      <c r="AP627" s="96"/>
      <c r="AQ627" s="368"/>
      <c r="AR627" s="368"/>
    </row>
    <row r="628" spans="26:65" x14ac:dyDescent="0.25">
      <c r="Z628" s="96"/>
      <c r="AA628" s="87" t="s">
        <v>957</v>
      </c>
      <c r="AB628" s="87"/>
      <c r="AC628" s="87"/>
      <c r="AD628" s="87"/>
      <c r="AE628" s="87"/>
      <c r="AF628" s="87"/>
      <c r="AG628" s="87"/>
      <c r="AH628" s="87"/>
      <c r="AI628" s="369" t="s">
        <v>1159</v>
      </c>
      <c r="AJ628" s="96"/>
      <c r="AK628" s="96"/>
      <c r="AL628" s="96"/>
      <c r="AM628" s="96"/>
      <c r="AN628" s="96"/>
      <c r="AO628" s="96"/>
      <c r="AP628" s="96"/>
      <c r="AQ628" s="368"/>
      <c r="AR628" s="368"/>
      <c r="BA628" s="1" t="s">
        <v>1014</v>
      </c>
      <c r="BI628" s="1" t="s">
        <v>1015</v>
      </c>
    </row>
    <row r="629" spans="26:65" x14ac:dyDescent="0.25">
      <c r="Z629" s="96"/>
      <c r="AA629" s="486" t="s">
        <v>47</v>
      </c>
      <c r="AB629" s="486"/>
      <c r="AC629" s="486"/>
      <c r="AD629" s="486"/>
      <c r="AE629" s="486"/>
      <c r="AF629" s="486"/>
      <c r="AG629" s="486"/>
      <c r="AH629" s="486"/>
      <c r="AI629" s="87"/>
      <c r="AJ629" s="96"/>
      <c r="AK629" s="96"/>
      <c r="AL629" s="96"/>
      <c r="AM629" s="96"/>
      <c r="AN629" s="96"/>
      <c r="AO629" s="96"/>
      <c r="AP629" s="96"/>
      <c r="AQ629" s="368"/>
      <c r="AR629" s="368"/>
      <c r="BA629" s="1" t="s">
        <v>429</v>
      </c>
    </row>
    <row r="630" spans="26:65" x14ac:dyDescent="0.25">
      <c r="Z630" s="96"/>
      <c r="AA630" s="87"/>
      <c r="AB630" s="87" t="s">
        <v>48</v>
      </c>
      <c r="AC630" s="87"/>
      <c r="AD630" s="87"/>
      <c r="AE630" s="87"/>
      <c r="AF630" s="87"/>
      <c r="AG630" s="87"/>
      <c r="AH630" s="87"/>
      <c r="AI630" s="87"/>
      <c r="AJ630" s="96"/>
      <c r="AK630" s="96"/>
      <c r="AL630" s="96"/>
      <c r="AM630" s="96"/>
      <c r="AN630" s="96"/>
      <c r="AO630" s="96"/>
      <c r="AP630" s="96"/>
      <c r="AQ630" s="368"/>
      <c r="AR630" s="368"/>
      <c r="BB630" s="1" t="s">
        <v>644</v>
      </c>
    </row>
    <row r="631" spans="26:65" x14ac:dyDescent="0.25">
      <c r="Z631" s="96"/>
      <c r="AA631" s="87" t="s">
        <v>842</v>
      </c>
      <c r="AB631" s="455" t="s">
        <v>576</v>
      </c>
      <c r="AC631" s="455" t="s">
        <v>44</v>
      </c>
      <c r="AD631" s="455" t="s">
        <v>574</v>
      </c>
      <c r="AE631" s="87" t="s">
        <v>756</v>
      </c>
      <c r="AF631" s="87"/>
      <c r="AG631" s="455" t="s">
        <v>45</v>
      </c>
      <c r="AH631" s="455" t="s">
        <v>46</v>
      </c>
      <c r="AI631" s="455" t="s">
        <v>918</v>
      </c>
      <c r="AJ631" s="96" t="s">
        <v>100</v>
      </c>
      <c r="AK631" s="96" t="s">
        <v>1294</v>
      </c>
      <c r="AL631" s="96"/>
      <c r="AM631" s="96"/>
      <c r="AN631" s="96"/>
      <c r="AO631" s="96"/>
      <c r="AP631" s="96"/>
      <c r="AQ631" s="368"/>
      <c r="AR631" s="368"/>
      <c r="BA631" s="96" t="s">
        <v>430</v>
      </c>
      <c r="BB631" s="96" t="s">
        <v>431</v>
      </c>
      <c r="BC631" s="96" t="s">
        <v>432</v>
      </c>
      <c r="BD631" s="96" t="s">
        <v>433</v>
      </c>
      <c r="BE631" s="96" t="s">
        <v>434</v>
      </c>
      <c r="BF631" s="96"/>
      <c r="BG631" s="96" t="s">
        <v>435</v>
      </c>
      <c r="BH631" s="96" t="s">
        <v>436</v>
      </c>
      <c r="BI631" s="96" t="s">
        <v>917</v>
      </c>
      <c r="BJ631" s="96"/>
      <c r="BK631" s="96"/>
      <c r="BL631" s="96" t="s">
        <v>1293</v>
      </c>
      <c r="BM631" s="96" t="s">
        <v>1295</v>
      </c>
    </row>
    <row r="632" spans="26:65" x14ac:dyDescent="0.25">
      <c r="Z632" s="96"/>
      <c r="AA632" s="486" t="s">
        <v>843</v>
      </c>
      <c r="AB632" s="486"/>
      <c r="AC632" s="486"/>
      <c r="AD632" s="486"/>
      <c r="AE632" s="87"/>
      <c r="AF632" s="87"/>
      <c r="AG632" s="87"/>
      <c r="AH632" s="486"/>
      <c r="AI632" s="486"/>
      <c r="AJ632" s="96"/>
      <c r="AK632" s="96"/>
      <c r="AL632" s="96"/>
      <c r="AM632" s="96"/>
      <c r="AN632" s="96"/>
      <c r="AO632" s="96"/>
      <c r="AP632" s="96"/>
      <c r="AQ632" s="479"/>
      <c r="AR632" s="479"/>
      <c r="BA632" s="1" t="s">
        <v>437</v>
      </c>
    </row>
    <row r="633" spans="26:65" x14ac:dyDescent="0.25">
      <c r="Z633" s="96"/>
      <c r="AA633" s="490"/>
      <c r="AB633" s="455"/>
      <c r="AC633" s="455"/>
      <c r="AD633" s="455"/>
      <c r="AE633" s="87"/>
      <c r="AF633" s="87"/>
      <c r="AG633" s="379"/>
      <c r="AH633" s="379"/>
      <c r="AI633" s="379"/>
      <c r="AJ633" s="96"/>
      <c r="AK633" s="96"/>
      <c r="AL633" s="96"/>
      <c r="AM633" s="96"/>
      <c r="AN633" s="96"/>
      <c r="AO633" s="96"/>
      <c r="AP633" s="96"/>
      <c r="AQ633" s="479"/>
      <c r="AR633" s="479"/>
    </row>
    <row r="634" spans="26:65" x14ac:dyDescent="0.25">
      <c r="Z634" s="96"/>
      <c r="AA634" s="490"/>
      <c r="AB634" s="455"/>
      <c r="AC634" s="455"/>
      <c r="AD634" s="455"/>
      <c r="AE634" s="87"/>
      <c r="AF634" s="87"/>
      <c r="AG634" s="379"/>
      <c r="AH634" s="379"/>
      <c r="AI634" s="379"/>
      <c r="AJ634" s="96"/>
      <c r="AK634" s="96"/>
      <c r="AL634" s="96"/>
      <c r="AM634" s="96"/>
      <c r="AN634" s="96"/>
      <c r="AO634" s="96"/>
      <c r="AP634" s="96"/>
      <c r="AQ634" s="479"/>
      <c r="AR634" s="479"/>
    </row>
    <row r="635" spans="26:65" x14ac:dyDescent="0.25">
      <c r="Z635" s="96"/>
      <c r="AA635" s="490"/>
      <c r="AB635" s="455"/>
      <c r="AC635" s="455"/>
      <c r="AD635" s="455"/>
      <c r="AE635" s="87"/>
      <c r="AF635" s="87"/>
      <c r="AG635" s="379"/>
      <c r="AH635" s="379"/>
      <c r="AI635" s="379"/>
      <c r="AJ635" s="96"/>
      <c r="AK635" s="96"/>
      <c r="AL635" s="96"/>
      <c r="AM635" s="96"/>
      <c r="AN635" s="96"/>
      <c r="AO635" s="96"/>
      <c r="AP635" s="96"/>
      <c r="AQ635" s="479"/>
      <c r="AR635" s="479"/>
    </row>
    <row r="636" spans="26:65" x14ac:dyDescent="0.25">
      <c r="Z636" s="96"/>
      <c r="AA636" s="490"/>
      <c r="AB636" s="455"/>
      <c r="AC636" s="455"/>
      <c r="AD636" s="455"/>
      <c r="AE636" s="87"/>
      <c r="AF636" s="87"/>
      <c r="AG636" s="379"/>
      <c r="AH636" s="379"/>
      <c r="AI636" s="379"/>
      <c r="AJ636" s="96"/>
      <c r="AK636" s="96"/>
      <c r="AL636" s="96"/>
      <c r="AM636" s="96"/>
      <c r="AN636" s="96"/>
      <c r="AO636" s="96"/>
      <c r="AP636" s="96"/>
      <c r="AQ636" s="479"/>
      <c r="AR636" s="479"/>
    </row>
    <row r="637" spans="26:65" x14ac:dyDescent="0.25">
      <c r="Z637" s="96"/>
      <c r="AA637" s="490"/>
      <c r="AB637" s="455"/>
      <c r="AC637" s="455"/>
      <c r="AD637" s="455"/>
      <c r="AE637" s="87"/>
      <c r="AF637" s="87"/>
      <c r="AG637" s="379"/>
      <c r="AH637" s="379"/>
      <c r="AI637" s="379"/>
      <c r="AJ637" s="96"/>
      <c r="AK637" s="96"/>
      <c r="AL637" s="96"/>
      <c r="AM637" s="96"/>
      <c r="AN637" s="96"/>
      <c r="AO637" s="96"/>
      <c r="AP637" s="96"/>
      <c r="AQ637" s="479"/>
      <c r="AR637" s="479"/>
    </row>
    <row r="638" spans="26:65" x14ac:dyDescent="0.25">
      <c r="Z638" s="96"/>
      <c r="AA638" s="490"/>
      <c r="AB638" s="455"/>
      <c r="AC638" s="455"/>
      <c r="AD638" s="455"/>
      <c r="AE638" s="87"/>
      <c r="AF638" s="87"/>
      <c r="AG638" s="379"/>
      <c r="AH638" s="379"/>
      <c r="AI638" s="379"/>
      <c r="AJ638" s="96"/>
      <c r="AK638" s="96"/>
      <c r="AL638" s="96"/>
      <c r="AM638" s="96"/>
      <c r="AN638" s="96"/>
      <c r="AO638" s="96"/>
      <c r="AP638" s="96"/>
      <c r="AQ638" s="479"/>
      <c r="AR638" s="479"/>
    </row>
    <row r="639" spans="26:65" x14ac:dyDescent="0.25">
      <c r="Z639" s="96"/>
      <c r="AA639" s="490"/>
      <c r="AB639" s="455"/>
      <c r="AC639" s="455"/>
      <c r="AD639" s="455"/>
      <c r="AE639" s="87"/>
      <c r="AF639" s="87"/>
      <c r="AG639" s="379"/>
      <c r="AH639" s="379"/>
      <c r="AI639" s="379"/>
      <c r="AJ639" s="96"/>
      <c r="AK639" s="96"/>
      <c r="AL639" s="96"/>
      <c r="AM639" s="96"/>
      <c r="AN639" s="96"/>
      <c r="AO639" s="96"/>
      <c r="AP639" s="96"/>
      <c r="AQ639" s="479"/>
      <c r="AR639" s="479"/>
    </row>
    <row r="640" spans="26:65" x14ac:dyDescent="0.25">
      <c r="Z640" s="96"/>
      <c r="AA640" s="490"/>
      <c r="AB640" s="455"/>
      <c r="AC640" s="455"/>
      <c r="AD640" s="455"/>
      <c r="AE640" s="87"/>
      <c r="AF640" s="87"/>
      <c r="AG640" s="379"/>
      <c r="AH640" s="379"/>
      <c r="AI640" s="379"/>
      <c r="AJ640" s="96"/>
      <c r="AK640" s="96"/>
      <c r="AL640" s="96"/>
      <c r="AM640" s="96"/>
      <c r="AN640" s="96"/>
      <c r="AO640" s="96"/>
      <c r="AP640" s="96"/>
      <c r="AQ640" s="479"/>
      <c r="AR640" s="479"/>
    </row>
    <row r="641" spans="26:44" x14ac:dyDescent="0.25">
      <c r="Z641" s="96"/>
      <c r="AA641" s="490"/>
      <c r="AB641" s="455"/>
      <c r="AC641" s="455"/>
      <c r="AD641" s="455"/>
      <c r="AE641" s="87"/>
      <c r="AF641" s="87"/>
      <c r="AG641" s="379"/>
      <c r="AH641" s="379"/>
      <c r="AI641" s="379"/>
      <c r="AJ641" s="96"/>
      <c r="AK641" s="96"/>
      <c r="AL641" s="96"/>
      <c r="AM641" s="96"/>
      <c r="AN641" s="96"/>
      <c r="AO641" s="96"/>
      <c r="AP641" s="96"/>
      <c r="AQ641" s="479"/>
      <c r="AR641" s="479"/>
    </row>
    <row r="642" spans="26:44" x14ac:dyDescent="0.25">
      <c r="Z642" s="96"/>
      <c r="AA642" s="490"/>
      <c r="AB642" s="455"/>
      <c r="AC642" s="455"/>
      <c r="AD642" s="455"/>
      <c r="AE642" s="87"/>
      <c r="AF642" s="87"/>
      <c r="AG642" s="379"/>
      <c r="AH642" s="379"/>
      <c r="AI642" s="379"/>
      <c r="AJ642" s="96"/>
      <c r="AK642" s="96"/>
      <c r="AL642" s="96"/>
      <c r="AM642" s="96"/>
      <c r="AN642" s="96"/>
      <c r="AO642" s="96"/>
      <c r="AP642" s="96"/>
      <c r="AQ642" s="479"/>
      <c r="AR642" s="479"/>
    </row>
    <row r="643" spans="26:44" x14ac:dyDescent="0.25">
      <c r="Z643" s="96"/>
      <c r="AA643" s="490"/>
      <c r="AB643" s="455"/>
      <c r="AC643" s="455"/>
      <c r="AD643" s="455"/>
      <c r="AE643" s="87"/>
      <c r="AF643" s="87"/>
      <c r="AG643" s="379"/>
      <c r="AH643" s="379"/>
      <c r="AI643" s="379"/>
      <c r="AJ643" s="96"/>
      <c r="AK643" s="96"/>
      <c r="AL643" s="96"/>
      <c r="AM643" s="96"/>
      <c r="AN643" s="96"/>
      <c r="AO643" s="96"/>
      <c r="AP643" s="96"/>
      <c r="AQ643" s="479"/>
      <c r="AR643" s="479"/>
    </row>
    <row r="644" spans="26:44" x14ac:dyDescent="0.25">
      <c r="Z644" s="96"/>
      <c r="AA644" s="490"/>
      <c r="AB644" s="455"/>
      <c r="AC644" s="455"/>
      <c r="AD644" s="455"/>
      <c r="AE644" s="87"/>
      <c r="AF644" s="87"/>
      <c r="AG644" s="379"/>
      <c r="AH644" s="379"/>
      <c r="AI644" s="379"/>
      <c r="AJ644" s="96"/>
      <c r="AK644" s="96"/>
      <c r="AL644" s="96"/>
      <c r="AM644" s="96"/>
      <c r="AN644" s="96"/>
      <c r="AO644" s="96"/>
      <c r="AP644" s="96"/>
      <c r="AQ644" s="479"/>
      <c r="AR644" s="479"/>
    </row>
    <row r="645" spans="26:44" x14ac:dyDescent="0.25">
      <c r="Z645" s="96"/>
      <c r="AA645" s="490"/>
      <c r="AB645" s="455"/>
      <c r="AC645" s="455"/>
      <c r="AD645" s="455"/>
      <c r="AE645" s="87"/>
      <c r="AF645" s="87"/>
      <c r="AG645" s="379"/>
      <c r="AH645" s="379"/>
      <c r="AI645" s="379"/>
      <c r="AJ645" s="96"/>
      <c r="AK645" s="96"/>
      <c r="AL645" s="96"/>
      <c r="AM645" s="96"/>
      <c r="AN645" s="96"/>
      <c r="AO645" s="96"/>
      <c r="AP645" s="96"/>
      <c r="AQ645" s="479"/>
      <c r="AR645" s="479"/>
    </row>
    <row r="646" spans="26:44" x14ac:dyDescent="0.25">
      <c r="Z646" s="96"/>
      <c r="AA646" s="490"/>
      <c r="AB646" s="455"/>
      <c r="AC646" s="455"/>
      <c r="AD646" s="455"/>
      <c r="AE646" s="87"/>
      <c r="AF646" s="87"/>
      <c r="AG646" s="379"/>
      <c r="AH646" s="379"/>
      <c r="AI646" s="379"/>
      <c r="AJ646" s="96"/>
      <c r="AK646" s="96"/>
      <c r="AL646" s="96"/>
      <c r="AM646" s="96"/>
      <c r="AN646" s="96"/>
      <c r="AO646" s="96"/>
      <c r="AP646" s="96"/>
      <c r="AQ646" s="479"/>
      <c r="AR646" s="479"/>
    </row>
    <row r="647" spans="26:44" x14ac:dyDescent="0.25">
      <c r="Z647" s="96"/>
      <c r="AA647" s="490"/>
      <c r="AB647" s="455"/>
      <c r="AC647" s="455"/>
      <c r="AD647" s="455"/>
      <c r="AE647" s="87"/>
      <c r="AF647" s="87"/>
      <c r="AG647" s="379"/>
      <c r="AH647" s="379"/>
      <c r="AI647" s="379"/>
      <c r="AJ647" s="96"/>
      <c r="AK647" s="96"/>
      <c r="AL647" s="96"/>
      <c r="AM647" s="96"/>
      <c r="AN647" s="96"/>
      <c r="AO647" s="96"/>
      <c r="AP647" s="96"/>
      <c r="AQ647" s="479"/>
      <c r="AR647" s="479"/>
    </row>
    <row r="648" spans="26:44" x14ac:dyDescent="0.25">
      <c r="Z648" s="96"/>
      <c r="AA648" s="490"/>
      <c r="AB648" s="455"/>
      <c r="AC648" s="455"/>
      <c r="AD648" s="455"/>
      <c r="AE648" s="87"/>
      <c r="AF648" s="87"/>
      <c r="AG648" s="379"/>
      <c r="AH648" s="379"/>
      <c r="AI648" s="379"/>
      <c r="AJ648" s="96"/>
      <c r="AK648" s="96"/>
      <c r="AL648" s="96"/>
      <c r="AM648" s="96"/>
      <c r="AN648" s="96"/>
      <c r="AO648" s="96"/>
      <c r="AP648" s="96"/>
      <c r="AQ648" s="479"/>
      <c r="AR648" s="479"/>
    </row>
    <row r="649" spans="26:44" x14ac:dyDescent="0.25">
      <c r="Z649" s="96"/>
      <c r="AA649" s="490"/>
      <c r="AB649" s="455"/>
      <c r="AC649" s="455"/>
      <c r="AD649" s="455"/>
      <c r="AE649" s="87"/>
      <c r="AF649" s="87"/>
      <c r="AG649" s="379"/>
      <c r="AH649" s="379"/>
      <c r="AI649" s="379"/>
      <c r="AJ649" s="96"/>
      <c r="AK649" s="96"/>
      <c r="AL649" s="96"/>
      <c r="AM649" s="96"/>
      <c r="AN649" s="96"/>
      <c r="AO649" s="96"/>
      <c r="AP649" s="96"/>
      <c r="AQ649" s="479"/>
      <c r="AR649" s="479"/>
    </row>
    <row r="650" spans="26:44" x14ac:dyDescent="0.25">
      <c r="Z650" s="96"/>
      <c r="AA650" s="490"/>
      <c r="AB650" s="455"/>
      <c r="AC650" s="455"/>
      <c r="AD650" s="455"/>
      <c r="AE650" s="87"/>
      <c r="AF650" s="87"/>
      <c r="AG650" s="379"/>
      <c r="AH650" s="379"/>
      <c r="AI650" s="379"/>
      <c r="AJ650" s="96"/>
      <c r="AK650" s="96"/>
      <c r="AL650" s="96"/>
      <c r="AM650" s="96"/>
      <c r="AN650" s="96"/>
      <c r="AO650" s="96"/>
      <c r="AP650" s="96"/>
      <c r="AQ650" s="479"/>
      <c r="AR650" s="479"/>
    </row>
    <row r="651" spans="26:44" x14ac:dyDescent="0.25">
      <c r="Z651" s="96"/>
      <c r="AA651" s="490"/>
      <c r="AB651" s="455"/>
      <c r="AC651" s="455"/>
      <c r="AD651" s="455"/>
      <c r="AE651" s="87"/>
      <c r="AF651" s="87"/>
      <c r="AG651" s="379"/>
      <c r="AH651" s="379"/>
      <c r="AI651" s="379"/>
      <c r="AJ651" s="96"/>
      <c r="AK651" s="96"/>
      <c r="AL651" s="96"/>
      <c r="AM651" s="96"/>
      <c r="AN651" s="96"/>
      <c r="AO651" s="96"/>
      <c r="AP651" s="96"/>
      <c r="AQ651" s="479"/>
      <c r="AR651" s="479"/>
    </row>
    <row r="652" spans="26:44" x14ac:dyDescent="0.25">
      <c r="Z652" s="96"/>
      <c r="AA652" s="490"/>
      <c r="AB652" s="455"/>
      <c r="AC652" s="455"/>
      <c r="AD652" s="455"/>
      <c r="AE652" s="87"/>
      <c r="AF652" s="87"/>
      <c r="AG652" s="379"/>
      <c r="AH652" s="379"/>
      <c r="AI652" s="379"/>
      <c r="AJ652" s="96"/>
      <c r="AK652" s="96"/>
      <c r="AL652" s="96"/>
      <c r="AM652" s="96"/>
      <c r="AN652" s="96"/>
      <c r="AO652" s="96"/>
      <c r="AP652" s="96"/>
      <c r="AQ652" s="479"/>
      <c r="AR652" s="479"/>
    </row>
    <row r="653" spans="26:44" x14ac:dyDescent="0.25">
      <c r="Z653" s="96"/>
      <c r="AA653" s="490"/>
      <c r="AB653" s="455"/>
      <c r="AC653" s="455"/>
      <c r="AD653" s="455"/>
      <c r="AE653" s="87"/>
      <c r="AF653" s="87"/>
      <c r="AG653" s="379"/>
      <c r="AH653" s="379"/>
      <c r="AI653" s="379"/>
      <c r="AJ653" s="96"/>
      <c r="AK653" s="96"/>
      <c r="AL653" s="96"/>
      <c r="AM653" s="96"/>
      <c r="AN653" s="96"/>
      <c r="AO653" s="96"/>
      <c r="AP653" s="96"/>
      <c r="AQ653" s="479"/>
      <c r="AR653" s="479"/>
    </row>
    <row r="654" spans="26:44" x14ac:dyDescent="0.25">
      <c r="Z654" s="96"/>
      <c r="AA654" s="490"/>
      <c r="AB654" s="455"/>
      <c r="AC654" s="455"/>
      <c r="AD654" s="455"/>
      <c r="AE654" s="87"/>
      <c r="AF654" s="87"/>
      <c r="AG654" s="379"/>
      <c r="AH654" s="379"/>
      <c r="AI654" s="379"/>
      <c r="AJ654" s="96"/>
      <c r="AK654" s="96"/>
      <c r="AL654" s="96"/>
      <c r="AM654" s="96"/>
      <c r="AN654" s="96"/>
      <c r="AO654" s="96"/>
      <c r="AP654" s="96"/>
      <c r="AQ654" s="479"/>
      <c r="AR654" s="479"/>
    </row>
    <row r="655" spans="26:44" x14ac:dyDescent="0.25">
      <c r="Z655" s="96"/>
      <c r="AA655" s="490"/>
      <c r="AB655" s="455"/>
      <c r="AC655" s="455"/>
      <c r="AD655" s="455"/>
      <c r="AE655" s="87"/>
      <c r="AF655" s="87"/>
      <c r="AG655" s="379"/>
      <c r="AH655" s="379"/>
      <c r="AI655" s="379"/>
      <c r="AJ655" s="96"/>
      <c r="AK655" s="96"/>
      <c r="AL655" s="96"/>
      <c r="AM655" s="96"/>
      <c r="AN655" s="96"/>
      <c r="AO655" s="96"/>
      <c r="AP655" s="96"/>
      <c r="AQ655" s="479"/>
      <c r="AR655" s="479"/>
    </row>
    <row r="656" spans="26:44" x14ac:dyDescent="0.25">
      <c r="Z656" s="96"/>
      <c r="AA656" s="490"/>
      <c r="AB656" s="455"/>
      <c r="AC656" s="455"/>
      <c r="AD656" s="455"/>
      <c r="AE656" s="87"/>
      <c r="AF656" s="87"/>
      <c r="AG656" s="379"/>
      <c r="AH656" s="379"/>
      <c r="AI656" s="379"/>
      <c r="AJ656" s="96"/>
      <c r="AK656" s="96"/>
      <c r="AL656" s="96"/>
      <c r="AM656" s="96"/>
      <c r="AN656" s="96"/>
      <c r="AO656" s="96"/>
      <c r="AP656" s="96"/>
      <c r="AQ656" s="479"/>
      <c r="AR656" s="479"/>
    </row>
    <row r="657" spans="26:69" x14ac:dyDescent="0.25">
      <c r="Z657" s="96"/>
      <c r="AA657" s="490"/>
      <c r="AB657" s="455"/>
      <c r="AC657" s="455"/>
      <c r="AD657" s="455"/>
      <c r="AE657" s="87"/>
      <c r="AF657" s="87"/>
      <c r="AG657" s="379"/>
      <c r="AH657" s="379"/>
      <c r="AI657" s="379"/>
      <c r="AJ657" s="96"/>
      <c r="AK657" s="96"/>
      <c r="AL657" s="96"/>
      <c r="AM657" s="96"/>
      <c r="AN657" s="96"/>
      <c r="AO657" s="96"/>
      <c r="AP657" s="96"/>
      <c r="AQ657" s="479"/>
      <c r="AR657" s="479"/>
    </row>
    <row r="658" spans="26:69" x14ac:dyDescent="0.25">
      <c r="Z658" s="96"/>
      <c r="AA658" s="490"/>
      <c r="AB658" s="455"/>
      <c r="AC658" s="455"/>
      <c r="AD658" s="455"/>
      <c r="AE658" s="87"/>
      <c r="AF658" s="87"/>
      <c r="AG658" s="379"/>
      <c r="AH658" s="379"/>
      <c r="AI658" s="379"/>
      <c r="AJ658" s="96"/>
      <c r="AK658" s="96"/>
      <c r="AL658" s="96"/>
      <c r="AM658" s="96"/>
      <c r="AN658" s="96"/>
      <c r="AO658" s="96"/>
      <c r="AP658" s="96"/>
      <c r="AQ658" s="479"/>
      <c r="AR658" s="479"/>
    </row>
    <row r="659" spans="26:69" x14ac:dyDescent="0.25">
      <c r="Z659" s="96"/>
      <c r="AA659" s="490"/>
      <c r="AB659" s="455"/>
      <c r="AC659" s="455"/>
      <c r="AD659" s="455"/>
      <c r="AE659" s="87"/>
      <c r="AF659" s="87"/>
      <c r="AG659" s="379"/>
      <c r="AH659" s="379"/>
      <c r="AI659" s="379"/>
      <c r="AJ659" s="96"/>
      <c r="AK659" s="96"/>
      <c r="AL659" s="96"/>
      <c r="AM659" s="96"/>
      <c r="AN659" s="96"/>
      <c r="AO659" s="96"/>
      <c r="AP659" s="96"/>
      <c r="AQ659" s="479"/>
      <c r="AR659" s="479"/>
    </row>
    <row r="660" spans="26:69" x14ac:dyDescent="0.25">
      <c r="Z660" s="96"/>
      <c r="AA660" s="490"/>
      <c r="AB660" s="455"/>
      <c r="AC660" s="455"/>
      <c r="AD660" s="455"/>
      <c r="AE660" s="87"/>
      <c r="AF660" s="87"/>
      <c r="AG660" s="379"/>
      <c r="AH660" s="379"/>
      <c r="AI660" s="379"/>
      <c r="AJ660" s="96"/>
      <c r="AK660" s="96"/>
      <c r="AL660" s="96"/>
      <c r="AM660" s="96"/>
      <c r="AN660" s="96"/>
      <c r="AO660" s="96"/>
      <c r="AP660" s="96"/>
      <c r="AQ660" s="479"/>
      <c r="AR660" s="479"/>
    </row>
    <row r="661" spans="26:69" x14ac:dyDescent="0.25">
      <c r="Z661" s="96"/>
      <c r="AA661" s="490"/>
      <c r="AB661" s="455"/>
      <c r="AC661" s="455"/>
      <c r="AD661" s="455"/>
      <c r="AE661" s="87"/>
      <c r="AF661" s="87"/>
      <c r="AG661" s="379"/>
      <c r="AH661" s="379"/>
      <c r="AI661" s="379"/>
      <c r="AJ661" s="96"/>
      <c r="AK661" s="96"/>
      <c r="AL661" s="96"/>
      <c r="AM661" s="96"/>
      <c r="AN661" s="96"/>
      <c r="AO661" s="96"/>
      <c r="AP661" s="96"/>
      <c r="AQ661" s="479"/>
      <c r="AR661" s="479"/>
    </row>
    <row r="662" spans="26:69" x14ac:dyDescent="0.25">
      <c r="Z662" s="96"/>
      <c r="AA662" s="490"/>
      <c r="AB662" s="455"/>
      <c r="AC662" s="455"/>
      <c r="AD662" s="455"/>
      <c r="AE662" s="87"/>
      <c r="AF662" s="87"/>
      <c r="AG662" s="379"/>
      <c r="AH662" s="379"/>
      <c r="AI662" s="379"/>
      <c r="AJ662" s="96"/>
      <c r="AK662" s="96"/>
      <c r="AL662" s="96"/>
      <c r="AM662" s="96"/>
      <c r="AN662" s="96"/>
      <c r="AO662" s="96"/>
      <c r="AP662" s="96"/>
      <c r="AQ662" s="479"/>
      <c r="AR662" s="479"/>
    </row>
    <row r="663" spans="26:69" x14ac:dyDescent="0.25">
      <c r="Z663" s="96"/>
      <c r="AA663" s="490"/>
      <c r="AB663" s="455"/>
      <c r="AC663" s="455"/>
      <c r="AD663" s="455"/>
      <c r="AE663" s="87"/>
      <c r="AF663" s="87"/>
      <c r="AG663" s="379"/>
      <c r="AH663" s="379"/>
      <c r="AI663" s="379"/>
      <c r="AJ663" s="96"/>
      <c r="AK663" s="96"/>
      <c r="AL663" s="96"/>
      <c r="AM663" s="96"/>
      <c r="AN663" s="96"/>
      <c r="AO663" s="96"/>
      <c r="AP663" s="96"/>
      <c r="AQ663" s="479"/>
      <c r="AR663" s="479"/>
    </row>
    <row r="664" spans="26:69" x14ac:dyDescent="0.25">
      <c r="Z664" s="96"/>
      <c r="AA664" s="87" t="s">
        <v>763</v>
      </c>
      <c r="AB664" s="455"/>
      <c r="AC664" s="455"/>
      <c r="AD664" s="455"/>
      <c r="AE664" s="87"/>
      <c r="AF664" s="87"/>
      <c r="AG664" s="379"/>
      <c r="AH664" s="379"/>
      <c r="AI664" s="379"/>
      <c r="AJ664" s="96"/>
      <c r="AK664" s="96"/>
      <c r="AL664" s="96"/>
      <c r="AM664" s="96"/>
      <c r="AN664" s="96"/>
      <c r="AO664" s="96"/>
      <c r="AP664" s="96"/>
      <c r="AQ664" s="479"/>
      <c r="AR664" s="479"/>
      <c r="BA664" s="1" t="s">
        <v>763</v>
      </c>
    </row>
    <row r="665" spans="26:69" x14ac:dyDescent="0.25">
      <c r="Z665" s="96"/>
      <c r="AA665" s="87"/>
      <c r="AB665" s="455"/>
      <c r="AC665" s="455"/>
      <c r="AD665" s="87"/>
      <c r="AE665" s="87"/>
      <c r="AF665" s="87"/>
      <c r="AG665" s="87"/>
      <c r="AH665" s="87"/>
      <c r="AI665" s="87"/>
      <c r="AJ665" s="96"/>
      <c r="AK665" s="96"/>
      <c r="AL665" s="96"/>
      <c r="AM665" s="96"/>
      <c r="AN665" s="96"/>
      <c r="AO665" s="96"/>
      <c r="AP665" s="96"/>
      <c r="AQ665" s="479"/>
      <c r="AR665" s="479"/>
    </row>
    <row r="666" spans="26:69" x14ac:dyDescent="0.25">
      <c r="Z666" s="96"/>
      <c r="AA666" s="87"/>
      <c r="AB666" s="87"/>
      <c r="AC666" s="87"/>
      <c r="AD666" s="87"/>
      <c r="AE666" s="87"/>
      <c r="AF666" s="87"/>
      <c r="AG666" s="87"/>
      <c r="AH666" s="87"/>
      <c r="AI666" s="87"/>
      <c r="AJ666" s="96"/>
      <c r="AK666" s="96"/>
      <c r="AL666" s="96"/>
      <c r="AM666" s="96"/>
      <c r="AN666" s="96"/>
      <c r="AO666" s="96"/>
      <c r="AP666" s="96"/>
      <c r="AQ666" s="479"/>
      <c r="AR666" s="479"/>
    </row>
    <row r="667" spans="26:69" x14ac:dyDescent="0.25">
      <c r="Z667" s="96"/>
      <c r="AA667" s="87" t="s">
        <v>794</v>
      </c>
      <c r="AB667" s="87"/>
      <c r="AC667" s="87"/>
      <c r="AD667" s="87"/>
      <c r="AE667" s="87"/>
      <c r="AF667" s="87"/>
      <c r="AG667" s="87"/>
      <c r="AH667" s="87"/>
      <c r="AI667" s="87"/>
      <c r="AJ667" s="96"/>
      <c r="AK667" s="96"/>
      <c r="AL667" s="96"/>
      <c r="AM667" s="96"/>
      <c r="AN667" s="96"/>
      <c r="AO667" s="96"/>
      <c r="AP667" s="96"/>
      <c r="AQ667" s="479"/>
      <c r="AR667" s="479"/>
      <c r="BA667" s="1" t="s">
        <v>1208</v>
      </c>
    </row>
    <row r="668" spans="26:69" x14ac:dyDescent="0.25">
      <c r="Z668" s="96"/>
      <c r="AA668" s="87" t="s">
        <v>460</v>
      </c>
      <c r="AB668" s="87"/>
      <c r="AC668" s="87"/>
      <c r="AD668" s="87"/>
      <c r="AE668" s="87"/>
      <c r="AF668" s="379"/>
      <c r="AG668" s="87"/>
      <c r="AH668" s="87"/>
      <c r="AI668" s="87"/>
      <c r="AJ668" s="96"/>
      <c r="AK668" s="96"/>
      <c r="AL668" s="96"/>
      <c r="AM668" s="96"/>
      <c r="AN668" s="96"/>
      <c r="AO668" s="96"/>
      <c r="AP668" s="96"/>
      <c r="AQ668" s="479"/>
      <c r="AR668" s="479"/>
      <c r="BA668" s="1" t="s">
        <v>464</v>
      </c>
    </row>
    <row r="669" spans="26:69" x14ac:dyDescent="0.25">
      <c r="Z669" s="96"/>
      <c r="AA669" s="87" t="s">
        <v>461</v>
      </c>
      <c r="AB669" s="87"/>
      <c r="AC669" s="87"/>
      <c r="AD669" s="87"/>
      <c r="AE669" s="87"/>
      <c r="AF669" s="379"/>
      <c r="AG669" s="87"/>
      <c r="AH669" s="87"/>
      <c r="AI669" s="87"/>
      <c r="AJ669" s="96"/>
      <c r="AK669" s="96"/>
      <c r="AL669" s="96"/>
      <c r="AM669" s="96"/>
      <c r="AN669" s="96"/>
      <c r="AO669" s="96"/>
      <c r="AP669" s="96"/>
      <c r="AQ669" s="479"/>
      <c r="AR669" s="479"/>
      <c r="BA669" s="1" t="s">
        <v>438</v>
      </c>
    </row>
    <row r="670" spans="26:69" x14ac:dyDescent="0.25">
      <c r="Z670" s="96"/>
      <c r="AA670" s="87" t="s">
        <v>200</v>
      </c>
      <c r="AB670" s="87"/>
      <c r="AC670" s="87"/>
      <c r="AD670" s="87"/>
      <c r="AE670" s="87"/>
      <c r="AF670" s="379"/>
      <c r="AG670" s="87"/>
      <c r="AH670" s="87"/>
      <c r="AI670" s="87"/>
      <c r="AJ670" s="96"/>
      <c r="AK670" s="96"/>
      <c r="AL670" s="96"/>
      <c r="AM670" s="96"/>
      <c r="AN670" s="96"/>
      <c r="AO670" s="96"/>
      <c r="AP670" s="96"/>
      <c r="AQ670" s="479"/>
      <c r="AR670" s="479"/>
      <c r="BA670" s="1" t="s">
        <v>439</v>
      </c>
      <c r="BG670" s="96"/>
    </row>
    <row r="671" spans="26:69" x14ac:dyDescent="0.25">
      <c r="Z671" s="96"/>
      <c r="AA671" s="87" t="s">
        <v>214</v>
      </c>
      <c r="AB671" s="87"/>
      <c r="AC671" s="87"/>
      <c r="AD671" s="87"/>
      <c r="AE671" s="87"/>
      <c r="AF671" s="379"/>
      <c r="AG671" s="87"/>
      <c r="AH671" s="87"/>
      <c r="AI671" s="87"/>
      <c r="AJ671" s="96"/>
      <c r="AK671" s="96"/>
      <c r="AL671" s="96"/>
      <c r="AM671" s="96"/>
      <c r="AN671" s="96"/>
      <c r="AO671" s="96"/>
      <c r="AP671" s="96"/>
      <c r="AQ671" s="480" t="s">
        <v>726</v>
      </c>
      <c r="AR671" s="479"/>
      <c r="BA671" s="1" t="s">
        <v>440</v>
      </c>
      <c r="BG671" s="96"/>
      <c r="BQ671" s="96" t="s">
        <v>1209</v>
      </c>
    </row>
    <row r="672" spans="26:69" x14ac:dyDescent="0.25">
      <c r="Z672" s="96"/>
      <c r="AA672" s="87" t="s">
        <v>201</v>
      </c>
      <c r="AB672" s="87"/>
      <c r="AC672" s="87"/>
      <c r="AD672" s="87"/>
      <c r="AE672" s="87"/>
      <c r="AF672" s="379"/>
      <c r="AG672" s="87"/>
      <c r="AH672" s="87"/>
      <c r="AI672" s="87"/>
      <c r="AJ672" s="96"/>
      <c r="AK672" s="96"/>
      <c r="AL672" s="96"/>
      <c r="AM672" s="96"/>
      <c r="AN672" s="96"/>
      <c r="AO672" s="96"/>
      <c r="AP672" s="96"/>
      <c r="AQ672" s="479"/>
      <c r="AR672" s="479"/>
      <c r="BA672" s="1" t="s">
        <v>441</v>
      </c>
      <c r="BG672" s="96"/>
    </row>
    <row r="673" spans="26:69" x14ac:dyDescent="0.25">
      <c r="Z673" s="96"/>
      <c r="AA673" s="87" t="s">
        <v>202</v>
      </c>
      <c r="AB673" s="87"/>
      <c r="AC673" s="87"/>
      <c r="AD673" s="87"/>
      <c r="AE673" s="87"/>
      <c r="AF673" s="379"/>
      <c r="AG673" s="87"/>
      <c r="AH673" s="87"/>
      <c r="AI673" s="87"/>
      <c r="AJ673" s="96"/>
      <c r="AK673" s="96"/>
      <c r="AL673" s="96"/>
      <c r="AM673" s="96"/>
      <c r="AN673" s="96"/>
      <c r="AO673" s="96"/>
      <c r="AP673" s="96"/>
      <c r="AQ673" s="479"/>
      <c r="AR673" s="479"/>
      <c r="BA673" s="1" t="s">
        <v>442</v>
      </c>
      <c r="BG673" s="96"/>
    </row>
    <row r="674" spans="26:69" x14ac:dyDescent="0.25">
      <c r="Z674" s="96"/>
      <c r="AA674" s="87" t="s">
        <v>850</v>
      </c>
      <c r="AB674" s="87"/>
      <c r="AC674" s="87"/>
      <c r="AD674" s="87"/>
      <c r="AE674" s="87"/>
      <c r="AF674" s="379"/>
      <c r="AG674" s="87"/>
      <c r="AH674" s="87"/>
      <c r="AI674" s="87"/>
      <c r="AJ674" s="96"/>
      <c r="AK674" s="96"/>
      <c r="AL674" s="96"/>
      <c r="AM674" s="96"/>
      <c r="AN674" s="96"/>
      <c r="AO674" s="96"/>
      <c r="AP674" s="96"/>
      <c r="AQ674" s="479"/>
      <c r="AR674" s="479"/>
      <c r="BA674" s="1" t="s">
        <v>443</v>
      </c>
      <c r="BG674" s="96"/>
    </row>
    <row r="675" spans="26:69" x14ac:dyDescent="0.25">
      <c r="Z675" s="96"/>
      <c r="AA675" s="87" t="s">
        <v>462</v>
      </c>
      <c r="AB675" s="87"/>
      <c r="AC675" s="87"/>
      <c r="AD675" s="87"/>
      <c r="AE675" s="87"/>
      <c r="AF675" s="279"/>
      <c r="AG675" s="87"/>
      <c r="AH675" s="87"/>
      <c r="AI675" s="87"/>
      <c r="AJ675" s="96"/>
      <c r="AK675" s="96"/>
      <c r="AL675" s="96"/>
      <c r="AM675" s="96"/>
      <c r="AN675" s="96"/>
      <c r="AO675" s="96"/>
      <c r="AP675" s="96"/>
      <c r="AQ675" s="479"/>
      <c r="AR675" s="479"/>
      <c r="BA675" s="1" t="s">
        <v>444</v>
      </c>
    </row>
    <row r="676" spans="26:69" x14ac:dyDescent="0.25">
      <c r="Z676" s="96"/>
      <c r="AA676" s="87" t="s">
        <v>463</v>
      </c>
      <c r="AB676" s="87"/>
      <c r="AC676" s="87"/>
      <c r="AD676" s="87"/>
      <c r="AE676" s="87"/>
      <c r="AF676" s="379"/>
      <c r="AG676" s="87"/>
      <c r="AH676" s="87"/>
      <c r="AI676" s="87"/>
      <c r="AJ676" s="96"/>
      <c r="AK676" s="96"/>
      <c r="AL676" s="96"/>
      <c r="AM676" s="96"/>
      <c r="AN676" s="96"/>
      <c r="AO676" s="96"/>
      <c r="AP676" s="87" t="s">
        <v>49</v>
      </c>
      <c r="AQ676" s="480" t="s">
        <v>50</v>
      </c>
      <c r="AR676" s="479"/>
      <c r="BA676" s="1" t="s">
        <v>465</v>
      </c>
      <c r="BP676" s="1" t="s">
        <v>445</v>
      </c>
      <c r="BQ676" s="1" t="s">
        <v>729</v>
      </c>
    </row>
    <row r="677" spans="26:69" x14ac:dyDescent="0.25">
      <c r="Z677" s="96"/>
      <c r="AA677" s="87"/>
      <c r="AB677" s="87"/>
      <c r="AC677" s="87"/>
      <c r="AD677" s="87"/>
      <c r="AE677" s="87"/>
      <c r="AF677" s="87"/>
      <c r="AG677" s="87"/>
      <c r="AH677" s="87"/>
      <c r="AI677" s="87"/>
      <c r="AJ677" s="96"/>
      <c r="AK677" s="96"/>
      <c r="AL677" s="96"/>
      <c r="AM677" s="96"/>
      <c r="AN677" s="96"/>
      <c r="AO677" s="96"/>
      <c r="AP677" s="96"/>
      <c r="AQ677" s="479"/>
      <c r="AR677" s="479"/>
    </row>
    <row r="678" spans="26:69" x14ac:dyDescent="0.25">
      <c r="Z678" s="96"/>
      <c r="AA678" s="87" t="s">
        <v>106</v>
      </c>
      <c r="AB678" s="87"/>
      <c r="AC678" s="87"/>
      <c r="AD678" s="87"/>
      <c r="AE678" s="87"/>
      <c r="AF678" s="87"/>
      <c r="AG678" s="87"/>
      <c r="AH678" s="87"/>
      <c r="AI678" s="87" t="s">
        <v>1160</v>
      </c>
      <c r="AJ678" s="96"/>
      <c r="AK678" s="96"/>
      <c r="AL678" s="96"/>
      <c r="AM678" s="96"/>
      <c r="AN678" s="96"/>
      <c r="AO678" s="96"/>
      <c r="AP678" s="96"/>
      <c r="AQ678" s="479"/>
      <c r="AR678" s="479"/>
      <c r="BA678" s="1" t="s">
        <v>648</v>
      </c>
      <c r="BI678" s="1" t="s">
        <v>517</v>
      </c>
    </row>
    <row r="679" spans="26:69" x14ac:dyDescent="0.25">
      <c r="Z679" s="96"/>
      <c r="AA679" s="87"/>
      <c r="AB679" s="87"/>
      <c r="AC679" s="87"/>
      <c r="AD679" s="87"/>
      <c r="AE679" s="87"/>
      <c r="AF679" s="87"/>
      <c r="AG679" s="87"/>
      <c r="AH679" s="87"/>
      <c r="AI679" s="87"/>
      <c r="AJ679" s="96"/>
      <c r="AK679" s="96"/>
      <c r="AL679" s="96"/>
      <c r="AM679" s="96"/>
      <c r="AN679" s="96"/>
      <c r="AO679" s="96"/>
      <c r="AP679" s="96"/>
      <c r="AQ679" s="479"/>
      <c r="AR679" s="479"/>
    </row>
    <row r="680" spans="26:69" x14ac:dyDescent="0.25">
      <c r="Z680" s="96"/>
      <c r="AA680" s="87" t="s">
        <v>577</v>
      </c>
      <c r="AB680" s="87"/>
      <c r="AC680" s="87"/>
      <c r="AD680" s="87"/>
      <c r="AE680" s="87"/>
      <c r="AF680" s="87"/>
      <c r="AG680" s="87"/>
      <c r="AH680" s="87"/>
      <c r="AI680" s="87"/>
      <c r="AJ680" s="96"/>
      <c r="AK680" s="96"/>
      <c r="AL680" s="96"/>
      <c r="AM680" s="96"/>
      <c r="AN680" s="96"/>
      <c r="AO680" s="96"/>
      <c r="AP680" s="96"/>
      <c r="AQ680" s="479"/>
      <c r="AR680" s="479"/>
      <c r="BA680" s="1" t="s">
        <v>446</v>
      </c>
    </row>
    <row r="681" spans="26:69" ht="14.4" x14ac:dyDescent="0.3">
      <c r="Z681" s="96"/>
      <c r="AA681" s="87" t="s">
        <v>23</v>
      </c>
      <c r="AB681" s="87"/>
      <c r="AC681" s="87"/>
      <c r="AD681" s="87"/>
      <c r="AE681" s="775"/>
      <c r="AF681" s="87"/>
      <c r="AG681" s="87"/>
      <c r="AH681" s="87"/>
      <c r="AI681" s="87"/>
      <c r="AJ681" s="96"/>
      <c r="AK681" s="96"/>
      <c r="AL681" s="96"/>
      <c r="AM681" s="96"/>
      <c r="AN681" s="96"/>
      <c r="AO681" s="96"/>
      <c r="AP681" s="96"/>
      <c r="AQ681" s="479"/>
      <c r="AR681" s="479"/>
      <c r="BA681" s="1" t="s">
        <v>447</v>
      </c>
      <c r="BE681" s="775"/>
      <c r="BF681" s="775"/>
    </row>
    <row r="682" spans="26:69" x14ac:dyDescent="0.25">
      <c r="Z682" s="96"/>
      <c r="AA682" s="87" t="s">
        <v>19</v>
      </c>
      <c r="AB682" s="87"/>
      <c r="AC682" s="87"/>
      <c r="AD682" s="87"/>
      <c r="AE682" s="87"/>
      <c r="AF682" s="87"/>
      <c r="AG682" s="87"/>
      <c r="AH682" s="87"/>
      <c r="AI682" s="87"/>
      <c r="AJ682" s="96"/>
      <c r="AK682" s="96"/>
      <c r="AL682" s="96"/>
      <c r="AM682" s="96"/>
      <c r="AN682" s="96"/>
      <c r="AO682" s="96"/>
      <c r="AP682" s="96"/>
      <c r="AQ682" s="479"/>
      <c r="AR682" s="479"/>
      <c r="BA682" s="1" t="s">
        <v>448</v>
      </c>
      <c r="BE682" s="96"/>
    </row>
    <row r="683" spans="26:69" x14ac:dyDescent="0.25">
      <c r="Z683" s="96"/>
      <c r="AA683" s="87" t="s">
        <v>20</v>
      </c>
      <c r="AB683" s="87"/>
      <c r="AC683" s="87"/>
      <c r="AD683" s="87" t="s">
        <v>34</v>
      </c>
      <c r="AE683" s="87" t="s">
        <v>780</v>
      </c>
      <c r="AF683" s="87" t="s">
        <v>51</v>
      </c>
      <c r="AG683" s="87" t="s">
        <v>838</v>
      </c>
      <c r="AH683" s="87"/>
      <c r="AI683" s="87"/>
      <c r="AJ683" s="96"/>
      <c r="AK683" s="96"/>
      <c r="AL683" s="96"/>
      <c r="AM683" s="96"/>
      <c r="AN683" s="96"/>
      <c r="AO683" s="96"/>
      <c r="AP683" s="96"/>
      <c r="AQ683" s="479"/>
      <c r="AR683" s="479"/>
      <c r="BA683" s="1" t="s">
        <v>449</v>
      </c>
      <c r="BD683" s="1" t="s">
        <v>450</v>
      </c>
      <c r="BE683" s="1" t="s">
        <v>656</v>
      </c>
      <c r="BF683" s="1" t="s">
        <v>451</v>
      </c>
      <c r="BG683" s="1" t="s">
        <v>452</v>
      </c>
    </row>
    <row r="684" spans="26:69" x14ac:dyDescent="0.25">
      <c r="Z684" s="96"/>
      <c r="AA684" s="87"/>
      <c r="AB684" s="87"/>
      <c r="AC684" s="87"/>
      <c r="AD684" s="87"/>
      <c r="AE684" s="87"/>
      <c r="AF684" s="87"/>
      <c r="AG684" s="87"/>
      <c r="AH684" s="87"/>
      <c r="AI684" s="87"/>
      <c r="AJ684" s="96"/>
      <c r="AK684" s="96"/>
      <c r="AL684" s="96"/>
      <c r="AM684" s="96"/>
      <c r="AN684" s="96"/>
      <c r="AO684" s="96"/>
      <c r="AP684" s="96"/>
      <c r="AQ684" s="479"/>
      <c r="AR684" s="479"/>
    </row>
    <row r="685" spans="26:69" ht="14.4" x14ac:dyDescent="0.3">
      <c r="Z685" s="96"/>
      <c r="AA685" s="87" t="s">
        <v>27</v>
      </c>
      <c r="AB685" s="87"/>
      <c r="AC685" s="87"/>
      <c r="AD685" s="87"/>
      <c r="AF685" s="775"/>
      <c r="AG685" s="87"/>
      <c r="AH685" s="87"/>
      <c r="AI685" s="87"/>
      <c r="AJ685" s="96"/>
      <c r="AK685" s="96"/>
      <c r="AL685" s="96"/>
      <c r="AM685" s="96"/>
      <c r="AN685" s="96"/>
      <c r="AO685" s="96"/>
      <c r="AP685" s="96"/>
      <c r="AQ685" s="479"/>
      <c r="AR685" s="479"/>
      <c r="BA685" s="1" t="s">
        <v>453</v>
      </c>
      <c r="BE685" s="775"/>
      <c r="BF685" s="775"/>
    </row>
    <row r="686" spans="26:69" x14ac:dyDescent="0.25">
      <c r="Z686" s="96"/>
      <c r="AA686" s="87" t="s">
        <v>28</v>
      </c>
      <c r="AB686" s="87"/>
      <c r="AC686" s="87"/>
      <c r="AD686" s="87"/>
      <c r="AE686" s="87"/>
      <c r="AF686" s="87"/>
      <c r="AG686" s="87"/>
      <c r="AH686" s="87"/>
      <c r="AI686" s="87"/>
      <c r="AJ686" s="96"/>
      <c r="AK686" s="96"/>
      <c r="AL686" s="96"/>
      <c r="AM686" s="96"/>
      <c r="AN686" s="96"/>
      <c r="AO686" s="96"/>
      <c r="AP686" s="96"/>
      <c r="AQ686" s="479"/>
      <c r="AR686" s="479"/>
      <c r="BA686" s="1" t="s">
        <v>454</v>
      </c>
    </row>
    <row r="687" spans="26:69" x14ac:dyDescent="0.25">
      <c r="Z687" s="96"/>
      <c r="AA687" s="87" t="s">
        <v>91</v>
      </c>
      <c r="AB687" s="87"/>
      <c r="AC687" s="87"/>
      <c r="AD687" s="87"/>
      <c r="AE687" s="87"/>
      <c r="AF687" s="87"/>
      <c r="AG687" s="87"/>
      <c r="AH687" s="87"/>
      <c r="AI687" s="87"/>
      <c r="AJ687" s="96"/>
      <c r="AK687" s="96"/>
      <c r="AL687" s="96"/>
      <c r="AM687" s="96"/>
      <c r="AN687" s="96"/>
      <c r="AO687" s="96"/>
      <c r="AP687" s="96"/>
      <c r="AQ687" s="479"/>
      <c r="AR687" s="479"/>
      <c r="BA687" s="1" t="s">
        <v>1016</v>
      </c>
    </row>
    <row r="688" spans="26:69" x14ac:dyDescent="0.25">
      <c r="Z688" s="96"/>
      <c r="AA688" s="87" t="s">
        <v>919</v>
      </c>
      <c r="AB688" s="87"/>
      <c r="AC688" s="87"/>
      <c r="AD688" s="87"/>
      <c r="AE688" s="87"/>
      <c r="AF688" s="87"/>
      <c r="AG688" s="87"/>
      <c r="AH688" s="87"/>
      <c r="AI688" s="87"/>
      <c r="AJ688" s="96"/>
      <c r="AK688" s="96"/>
      <c r="AL688" s="96"/>
      <c r="AM688" s="96"/>
      <c r="AN688" s="96"/>
      <c r="AO688" s="96"/>
      <c r="AP688" s="96"/>
      <c r="AQ688" s="479"/>
      <c r="AR688" s="479"/>
      <c r="BA688" s="1" t="s">
        <v>921</v>
      </c>
    </row>
    <row r="689" spans="26:53" ht="14.4" x14ac:dyDescent="0.3">
      <c r="Z689" s="96"/>
      <c r="AA689" s="87" t="s">
        <v>920</v>
      </c>
      <c r="AB689" s="87"/>
      <c r="AC689" s="87"/>
      <c r="AD689" s="87"/>
      <c r="AE689" s="775"/>
      <c r="AF689" s="87"/>
      <c r="AG689" s="87"/>
      <c r="AH689" s="87"/>
      <c r="AI689" s="87"/>
      <c r="AJ689" s="96"/>
      <c r="AK689" s="96"/>
      <c r="AL689" s="96"/>
      <c r="AM689" s="96"/>
      <c r="AN689" s="96"/>
      <c r="AO689" s="96"/>
      <c r="AP689" s="96"/>
      <c r="AQ689" s="479"/>
      <c r="AR689" s="479"/>
      <c r="BA689" s="1" t="s">
        <v>922</v>
      </c>
    </row>
    <row r="690" spans="26:53" x14ac:dyDescent="0.25">
      <c r="Z690" s="96"/>
      <c r="AA690" s="87" t="s">
        <v>92</v>
      </c>
      <c r="AB690" s="87"/>
      <c r="AC690" s="87"/>
      <c r="AD690" s="87"/>
      <c r="AE690" s="87"/>
      <c r="AF690" s="87"/>
      <c r="AG690" s="87"/>
      <c r="AH690" s="87"/>
      <c r="AI690" s="87"/>
      <c r="AJ690" s="96"/>
      <c r="AK690" s="96"/>
      <c r="AL690" s="96"/>
      <c r="AM690" s="96"/>
      <c r="AN690" s="96"/>
      <c r="AO690" s="96"/>
      <c r="AP690" s="96"/>
      <c r="AQ690" s="479"/>
      <c r="AR690" s="479"/>
      <c r="BA690" s="1" t="s">
        <v>1017</v>
      </c>
    </row>
    <row r="691" spans="26:53" x14ac:dyDescent="0.25">
      <c r="Z691" s="96"/>
      <c r="AA691" s="87" t="s">
        <v>93</v>
      </c>
      <c r="AB691" s="87"/>
      <c r="AC691" s="87"/>
      <c r="AD691" s="87"/>
      <c r="AE691" s="87"/>
      <c r="AF691" s="87"/>
      <c r="AG691" s="87"/>
      <c r="AH691" s="87"/>
      <c r="AI691" s="87"/>
      <c r="AJ691" s="96"/>
      <c r="AK691" s="96"/>
      <c r="AL691" s="96"/>
      <c r="AM691" s="96"/>
      <c r="AN691" s="96"/>
      <c r="AO691" s="96"/>
      <c r="AP691" s="96"/>
      <c r="AQ691" s="479"/>
      <c r="AR691" s="479"/>
      <c r="BA691" s="1" t="s">
        <v>1018</v>
      </c>
    </row>
    <row r="692" spans="26:53" x14ac:dyDescent="0.25">
      <c r="Z692" s="96"/>
      <c r="AA692" s="87" t="s">
        <v>94</v>
      </c>
      <c r="AB692" s="87"/>
      <c r="AC692" s="87"/>
      <c r="AD692" s="87"/>
      <c r="AE692" s="87"/>
      <c r="AF692" s="87"/>
      <c r="AG692" s="87"/>
      <c r="AH692" s="87"/>
      <c r="AI692" s="87"/>
      <c r="AJ692" s="96"/>
      <c r="AK692" s="96"/>
      <c r="AL692" s="96"/>
      <c r="AM692" s="96"/>
      <c r="AN692" s="96"/>
      <c r="AO692" s="96"/>
      <c r="AP692" s="96"/>
      <c r="AQ692" s="479"/>
      <c r="AR692" s="479"/>
      <c r="BA692" s="1" t="s">
        <v>1019</v>
      </c>
    </row>
    <row r="693" spans="26:53" x14ac:dyDescent="0.25">
      <c r="Z693" s="96"/>
      <c r="AA693" s="87" t="s">
        <v>95</v>
      </c>
      <c r="AB693" s="87"/>
      <c r="AC693" s="87"/>
      <c r="AD693" s="87"/>
      <c r="AE693" s="87"/>
      <c r="AF693" s="87"/>
      <c r="AG693" s="87"/>
      <c r="AH693" s="87"/>
      <c r="AI693" s="87"/>
      <c r="AJ693" s="96"/>
      <c r="AK693" s="96"/>
      <c r="AL693" s="96"/>
      <c r="AM693" s="96"/>
      <c r="AN693" s="96"/>
      <c r="AO693" s="96"/>
      <c r="AP693" s="96"/>
      <c r="AQ693" s="479"/>
      <c r="AR693" s="479"/>
      <c r="BA693" s="1" t="s">
        <v>1020</v>
      </c>
    </row>
    <row r="694" spans="26:53" x14ac:dyDescent="0.25">
      <c r="Z694" s="96"/>
      <c r="AA694" s="87" t="s">
        <v>30</v>
      </c>
      <c r="AB694" s="87"/>
      <c r="AC694" s="87"/>
      <c r="AD694" s="87"/>
      <c r="AE694" s="87"/>
      <c r="AF694" s="87"/>
      <c r="AG694" s="87"/>
      <c r="AH694" s="87"/>
      <c r="AI694" s="87"/>
      <c r="AJ694" s="96"/>
      <c r="AK694" s="96"/>
      <c r="AL694" s="96"/>
      <c r="AM694" s="96"/>
      <c r="AN694" s="96"/>
      <c r="AO694" s="96"/>
      <c r="AP694" s="96"/>
      <c r="AQ694" s="479"/>
      <c r="AR694" s="479"/>
      <c r="BA694" s="1" t="s">
        <v>1021</v>
      </c>
    </row>
    <row r="695" spans="26:53" x14ac:dyDescent="0.25">
      <c r="Z695" s="96"/>
      <c r="AA695" s="87" t="s">
        <v>700</v>
      </c>
      <c r="AB695" s="87"/>
      <c r="AC695" s="87"/>
      <c r="AD695" s="87"/>
      <c r="AE695" s="87"/>
      <c r="AF695" s="87"/>
      <c r="AG695" s="87"/>
      <c r="AH695" s="87"/>
      <c r="AI695" s="87"/>
      <c r="AJ695" s="96"/>
      <c r="AK695" s="96"/>
      <c r="AL695" s="96"/>
      <c r="AM695" s="96"/>
      <c r="AN695" s="96"/>
      <c r="AO695" s="96"/>
      <c r="AP695" s="96"/>
      <c r="AQ695" s="479"/>
      <c r="AR695" s="479"/>
      <c r="BA695" s="1" t="s">
        <v>1022</v>
      </c>
    </row>
    <row r="696" spans="26:53" x14ac:dyDescent="0.25">
      <c r="Z696" s="96"/>
      <c r="AA696" s="87" t="s">
        <v>84</v>
      </c>
      <c r="AB696" s="87"/>
      <c r="AC696" s="87"/>
      <c r="AD696" s="87"/>
      <c r="AE696" s="87"/>
      <c r="AF696" s="87"/>
      <c r="AG696" s="87"/>
      <c r="AH696" s="87"/>
      <c r="AI696" s="87"/>
      <c r="AJ696" s="96"/>
      <c r="AK696" s="96"/>
      <c r="AL696" s="96"/>
      <c r="AM696" s="96"/>
      <c r="AN696" s="96"/>
      <c r="AO696" s="96"/>
      <c r="AP696" s="96"/>
      <c r="AQ696" s="479"/>
      <c r="AR696" s="479"/>
      <c r="BA696" s="1" t="s">
        <v>1023</v>
      </c>
    </row>
    <row r="697" spans="26:53" x14ac:dyDescent="0.25">
      <c r="Z697" s="96"/>
      <c r="AA697" s="87" t="s">
        <v>766</v>
      </c>
      <c r="AB697" s="87"/>
      <c r="AC697" s="87"/>
      <c r="AD697" s="87"/>
      <c r="AE697" s="87"/>
      <c r="AF697" s="87"/>
      <c r="AG697" s="87"/>
      <c r="AH697" s="87"/>
      <c r="AI697" s="87"/>
      <c r="AJ697" s="96"/>
      <c r="AK697" s="96"/>
      <c r="AL697" s="96"/>
      <c r="AM697" s="96"/>
      <c r="AN697" s="96"/>
      <c r="AO697" s="96"/>
      <c r="AP697" s="96"/>
      <c r="AQ697" s="479"/>
      <c r="AR697" s="479"/>
      <c r="BA697" s="1" t="s">
        <v>1024</v>
      </c>
    </row>
    <row r="698" spans="26:53" x14ac:dyDescent="0.25">
      <c r="Z698" s="96"/>
      <c r="AA698" s="87" t="s">
        <v>29</v>
      </c>
      <c r="AB698" s="87"/>
      <c r="AC698" s="87"/>
      <c r="AD698" s="87"/>
      <c r="AE698" s="87"/>
      <c r="AF698" s="87"/>
      <c r="AG698" s="87"/>
      <c r="AH698" s="87"/>
      <c r="AI698" s="87"/>
      <c r="AJ698" s="96"/>
      <c r="AK698" s="96"/>
      <c r="AL698" s="96"/>
      <c r="AM698" s="96"/>
      <c r="AN698" s="96"/>
      <c r="AO698" s="96"/>
      <c r="AP698" s="96"/>
      <c r="AQ698" s="479"/>
      <c r="AR698" s="479"/>
      <c r="BA698" s="1" t="s">
        <v>976</v>
      </c>
    </row>
    <row r="699" spans="26:53" x14ac:dyDescent="0.25">
      <c r="Z699" s="96"/>
      <c r="AA699" s="87" t="s">
        <v>971</v>
      </c>
      <c r="AB699" s="87"/>
      <c r="AC699" s="87"/>
      <c r="AD699" s="87"/>
      <c r="AE699" s="87"/>
      <c r="AF699" s="87"/>
      <c r="AG699" s="87"/>
      <c r="AH699" s="87"/>
      <c r="AI699" s="87"/>
      <c r="AJ699" s="96"/>
      <c r="AK699" s="96"/>
      <c r="AL699" s="96"/>
      <c r="AM699" s="96"/>
      <c r="AN699" s="96"/>
      <c r="AO699" s="96"/>
      <c r="AP699" s="96"/>
      <c r="AQ699" s="479"/>
      <c r="AR699" s="479"/>
      <c r="BA699" s="1" t="s">
        <v>1025</v>
      </c>
    </row>
    <row r="700" spans="26:53" x14ac:dyDescent="0.25">
      <c r="Z700" s="96"/>
      <c r="AA700" s="87" t="s">
        <v>1318</v>
      </c>
      <c r="AB700" s="87"/>
      <c r="AC700" s="87"/>
      <c r="AD700" s="87"/>
      <c r="AE700" s="87"/>
      <c r="AF700" s="87"/>
      <c r="AG700" s="87"/>
      <c r="AH700" s="87"/>
      <c r="AI700" s="87"/>
      <c r="AJ700" s="96"/>
      <c r="AK700" s="96"/>
      <c r="AL700" s="96"/>
      <c r="AM700" s="96"/>
      <c r="AN700" s="96"/>
      <c r="AO700" s="96"/>
      <c r="AP700" s="96"/>
      <c r="AQ700" s="479"/>
      <c r="AR700" s="479"/>
      <c r="BA700" s="1" t="s">
        <v>1278</v>
      </c>
    </row>
    <row r="701" spans="26:53" x14ac:dyDescent="0.25">
      <c r="Z701" s="96"/>
      <c r="AA701" s="643" t="s">
        <v>1262</v>
      </c>
      <c r="AB701" s="87"/>
      <c r="AC701" s="87"/>
      <c r="AD701" s="87"/>
      <c r="AE701" s="87"/>
      <c r="AF701" s="87"/>
      <c r="AG701" s="87"/>
      <c r="AH701" s="87"/>
      <c r="AI701" s="87"/>
      <c r="AJ701" s="96"/>
      <c r="AK701" s="96"/>
      <c r="AL701" s="96"/>
      <c r="AM701" s="96"/>
      <c r="AN701" s="96"/>
      <c r="AO701" s="96"/>
      <c r="AP701" s="96"/>
      <c r="AQ701" s="479"/>
      <c r="AR701" s="479"/>
      <c r="BA701" s="643" t="s">
        <v>1263</v>
      </c>
    </row>
    <row r="702" spans="26:53" x14ac:dyDescent="0.25">
      <c r="Z702" s="96"/>
      <c r="AA702" s="87" t="s">
        <v>971</v>
      </c>
      <c r="AB702" s="87"/>
      <c r="AC702" s="87"/>
      <c r="AD702" s="87"/>
      <c r="AE702" s="87"/>
      <c r="AF702" s="87"/>
      <c r="AG702" s="87"/>
      <c r="AH702" s="87"/>
      <c r="AI702" s="87"/>
      <c r="AJ702" s="96"/>
      <c r="AK702" s="96"/>
      <c r="AL702" s="96"/>
      <c r="AM702" s="96"/>
      <c r="AN702" s="96"/>
      <c r="AO702" s="96"/>
      <c r="AP702" s="96"/>
      <c r="AQ702" s="479"/>
      <c r="AR702" s="479"/>
      <c r="BA702" s="1" t="s">
        <v>1025</v>
      </c>
    </row>
    <row r="703" spans="26:53" x14ac:dyDescent="0.25">
      <c r="Z703" s="96"/>
      <c r="AA703" s="87"/>
      <c r="AB703" s="87"/>
      <c r="AC703" s="87"/>
      <c r="AD703" s="87"/>
      <c r="AE703" s="87"/>
      <c r="AF703" s="87"/>
      <c r="AG703" s="87"/>
      <c r="AH703" s="87"/>
      <c r="AI703" s="87"/>
      <c r="AJ703" s="96"/>
      <c r="AK703" s="96"/>
      <c r="AL703" s="96"/>
      <c r="AM703" s="96"/>
      <c r="AN703" s="96"/>
      <c r="AO703" s="96"/>
      <c r="AP703" s="96"/>
    </row>
    <row r="704" spans="26:53" x14ac:dyDescent="0.25">
      <c r="Z704" s="96"/>
      <c r="AA704" s="87"/>
      <c r="AB704" s="87"/>
      <c r="AC704" s="87"/>
      <c r="AD704" s="87"/>
      <c r="AE704" s="87"/>
      <c r="AF704" s="87"/>
      <c r="AG704" s="87"/>
      <c r="AH704" s="87"/>
      <c r="AI704" s="87"/>
      <c r="AJ704" s="96"/>
      <c r="AK704" s="96"/>
      <c r="AL704" s="96"/>
      <c r="AM704" s="96"/>
      <c r="AN704" s="96"/>
      <c r="AO704" s="96"/>
      <c r="AP704" s="96"/>
    </row>
    <row r="705" spans="26:42" x14ac:dyDescent="0.25">
      <c r="Z705" s="96"/>
      <c r="AA705" s="87"/>
      <c r="AB705" s="87"/>
      <c r="AC705" s="87"/>
      <c r="AD705" s="87"/>
      <c r="AE705" s="87"/>
      <c r="AF705" s="87"/>
      <c r="AG705" s="87"/>
      <c r="AH705" s="87"/>
      <c r="AI705" s="87"/>
      <c r="AJ705" s="96"/>
      <c r="AK705" s="96"/>
      <c r="AL705" s="96"/>
      <c r="AM705" s="96"/>
      <c r="AN705" s="96"/>
      <c r="AO705" s="96"/>
      <c r="AP705" s="96"/>
    </row>
    <row r="706" spans="26:42" x14ac:dyDescent="0.25">
      <c r="Z706" s="96"/>
      <c r="AA706" s="87"/>
      <c r="AB706" s="87"/>
      <c r="AC706" s="87"/>
      <c r="AD706" s="87"/>
      <c r="AE706" s="87"/>
      <c r="AF706" s="87"/>
      <c r="AG706" s="87"/>
      <c r="AH706" s="87"/>
      <c r="AI706" s="87"/>
      <c r="AJ706" s="96"/>
      <c r="AK706" s="96"/>
      <c r="AL706" s="96"/>
      <c r="AM706" s="96"/>
      <c r="AN706" s="96"/>
      <c r="AO706" s="96"/>
      <c r="AP706" s="96"/>
    </row>
    <row r="707" spans="26:42" x14ac:dyDescent="0.25">
      <c r="Z707" s="96"/>
      <c r="AA707" s="87"/>
      <c r="AB707" s="87"/>
      <c r="AC707" s="87"/>
      <c r="AD707" s="87"/>
      <c r="AE707" s="87"/>
      <c r="AF707" s="87"/>
      <c r="AG707" s="87"/>
      <c r="AH707" s="87"/>
      <c r="AI707" s="87"/>
      <c r="AJ707" s="96"/>
      <c r="AK707" s="96"/>
      <c r="AL707" s="96"/>
      <c r="AM707" s="96"/>
      <c r="AN707" s="96"/>
      <c r="AO707" s="96"/>
      <c r="AP707" s="96"/>
    </row>
    <row r="708" spans="26:42" x14ac:dyDescent="0.25">
      <c r="Z708" s="96"/>
      <c r="AA708" s="55"/>
      <c r="AB708" s="55"/>
      <c r="AC708" s="55"/>
      <c r="AD708" s="55"/>
      <c r="AE708" s="55"/>
      <c r="AF708" s="55"/>
      <c r="AG708" s="55"/>
      <c r="AH708" s="55"/>
      <c r="AI708" s="55"/>
    </row>
    <row r="709" spans="26:42" x14ac:dyDescent="0.25">
      <c r="Z709" s="96"/>
      <c r="AA709" s="55"/>
      <c r="AB709" s="55"/>
      <c r="AC709" s="55"/>
      <c r="AD709" s="55"/>
      <c r="AE709" s="55"/>
      <c r="AF709" s="55"/>
      <c r="AG709" s="55"/>
      <c r="AH709" s="55"/>
      <c r="AI709" s="55"/>
    </row>
    <row r="710" spans="26:42" x14ac:dyDescent="0.25">
      <c r="Z710" s="96"/>
      <c r="AA710" s="55"/>
      <c r="AB710" s="55"/>
      <c r="AC710" s="55"/>
      <c r="AD710" s="55"/>
      <c r="AE710" s="55"/>
      <c r="AF710" s="55"/>
      <c r="AG710" s="55"/>
      <c r="AH710" s="55"/>
      <c r="AI710" s="55"/>
    </row>
    <row r="711" spans="26:42" x14ac:dyDescent="0.25">
      <c r="Z711" s="96"/>
      <c r="AA711" s="55"/>
      <c r="AB711" s="55"/>
      <c r="AC711" s="55"/>
      <c r="AD711" s="55"/>
      <c r="AE711" s="55"/>
      <c r="AF711" s="55"/>
      <c r="AG711" s="55"/>
      <c r="AH711" s="55"/>
      <c r="AI711" s="55"/>
    </row>
    <row r="712" spans="26:42" x14ac:dyDescent="0.25">
      <c r="Z712" s="96"/>
      <c r="AA712" s="55"/>
      <c r="AB712" s="55"/>
      <c r="AC712" s="55"/>
      <c r="AD712" s="55"/>
      <c r="AE712" s="55"/>
      <c r="AF712" s="55"/>
      <c r="AG712" s="55"/>
      <c r="AH712" s="55"/>
      <c r="AI712" s="55"/>
    </row>
    <row r="713" spans="26:42" x14ac:dyDescent="0.25">
      <c r="AA713" s="55"/>
      <c r="AB713" s="55"/>
      <c r="AC713" s="55"/>
      <c r="AD713" s="55"/>
      <c r="AE713" s="55"/>
      <c r="AF713" s="55"/>
      <c r="AG713" s="55"/>
      <c r="AH713" s="55"/>
      <c r="AI713" s="55"/>
    </row>
    <row r="714" spans="26:42" x14ac:dyDescent="0.25">
      <c r="AA714" s="55"/>
      <c r="AB714" s="55"/>
      <c r="AC714" s="55"/>
      <c r="AD714" s="55"/>
      <c r="AE714" s="55"/>
      <c r="AF714" s="55"/>
      <c r="AG714" s="55"/>
      <c r="AH714" s="55"/>
      <c r="AI714" s="55"/>
    </row>
    <row r="715" spans="26:42" x14ac:dyDescent="0.25">
      <c r="AA715" s="55"/>
      <c r="AB715" s="55"/>
      <c r="AC715" s="55"/>
      <c r="AD715" s="55"/>
      <c r="AE715" s="55"/>
      <c r="AF715" s="55"/>
      <c r="AG715" s="55"/>
      <c r="AH715" s="55"/>
      <c r="AI715" s="55"/>
    </row>
    <row r="716" spans="26:42" x14ac:dyDescent="0.25">
      <c r="AA716" s="55"/>
      <c r="AB716" s="55"/>
      <c r="AC716" s="55"/>
      <c r="AD716" s="55"/>
      <c r="AE716" s="55"/>
      <c r="AF716" s="55"/>
      <c r="AG716" s="55"/>
      <c r="AH716" s="55"/>
      <c r="AI716" s="55"/>
    </row>
    <row r="717" spans="26:42" x14ac:dyDescent="0.25">
      <c r="AA717" s="55"/>
      <c r="AB717" s="55"/>
      <c r="AC717" s="55"/>
      <c r="AD717" s="55"/>
      <c r="AE717" s="55"/>
      <c r="AF717" s="55"/>
      <c r="AG717" s="55"/>
      <c r="AH717" s="55"/>
      <c r="AI717" s="55"/>
    </row>
    <row r="718" spans="26:42" x14ac:dyDescent="0.25">
      <c r="AA718" s="55"/>
      <c r="AB718" s="55"/>
      <c r="AC718" s="55"/>
      <c r="AD718" s="55"/>
      <c r="AE718" s="55"/>
      <c r="AF718" s="55"/>
      <c r="AG718" s="55"/>
      <c r="AH718" s="55"/>
      <c r="AI718" s="55"/>
    </row>
    <row r="719" spans="26:42" x14ac:dyDescent="0.25">
      <c r="AA719" s="55"/>
      <c r="AB719" s="55"/>
      <c r="AC719" s="55"/>
      <c r="AD719" s="55"/>
      <c r="AE719" s="55"/>
      <c r="AF719" s="55"/>
      <c r="AG719" s="55"/>
      <c r="AH719" s="55"/>
      <c r="AI719" s="55"/>
    </row>
    <row r="720" spans="26:42" x14ac:dyDescent="0.25">
      <c r="AA720" s="55"/>
      <c r="AB720" s="55"/>
      <c r="AC720" s="55"/>
      <c r="AD720" s="55"/>
      <c r="AE720" s="55"/>
      <c r="AF720" s="55"/>
      <c r="AG720" s="55"/>
      <c r="AH720" s="55"/>
      <c r="AI720" s="55"/>
    </row>
    <row r="721" spans="27:59" x14ac:dyDescent="0.25">
      <c r="AA721" s="55"/>
      <c r="AB721" s="55"/>
      <c r="AC721" s="55"/>
      <c r="AD721" s="55"/>
      <c r="AE721" s="55"/>
      <c r="AF721" s="55"/>
      <c r="AG721" s="55"/>
      <c r="AH721" s="55"/>
      <c r="AI721" s="55"/>
    </row>
    <row r="722" spans="27:59" x14ac:dyDescent="0.25">
      <c r="AA722" s="55"/>
      <c r="AB722" s="55"/>
      <c r="AC722" s="55"/>
      <c r="AD722" s="55"/>
      <c r="AE722" s="55"/>
      <c r="AF722" s="55"/>
      <c r="AG722" s="55"/>
      <c r="AH722" s="55"/>
      <c r="AI722" s="55"/>
    </row>
    <row r="723" spans="27:59" x14ac:dyDescent="0.25">
      <c r="AA723" s="55"/>
      <c r="AB723" s="55"/>
      <c r="AC723" s="55"/>
      <c r="AD723" s="55"/>
      <c r="AE723" s="55"/>
      <c r="AF723" s="55"/>
      <c r="AG723" s="55"/>
      <c r="AH723" s="55"/>
      <c r="AI723" s="55"/>
    </row>
    <row r="724" spans="27:59" x14ac:dyDescent="0.25">
      <c r="AA724" s="55"/>
      <c r="AB724" s="55"/>
      <c r="AC724" s="55"/>
      <c r="AD724" s="55"/>
      <c r="AE724" s="55"/>
      <c r="AF724" s="55"/>
      <c r="AG724" s="55"/>
      <c r="AH724" s="55"/>
      <c r="AI724" s="55"/>
    </row>
    <row r="725" spans="27:59" x14ac:dyDescent="0.25">
      <c r="AA725" s="55"/>
      <c r="AB725" s="55"/>
      <c r="AC725" s="55"/>
      <c r="AD725" s="55"/>
      <c r="AE725" s="55"/>
      <c r="AF725" s="55"/>
      <c r="AG725" s="55"/>
      <c r="AH725" s="55"/>
      <c r="AI725" s="55"/>
    </row>
    <row r="726" spans="27:59" x14ac:dyDescent="0.25">
      <c r="AA726" s="61"/>
      <c r="AB726" s="55"/>
      <c r="AC726" s="55"/>
      <c r="AD726" s="55"/>
      <c r="AE726" s="55"/>
      <c r="AF726" s="55"/>
      <c r="AG726" s="55"/>
      <c r="AH726" s="55"/>
      <c r="AI726" s="55"/>
    </row>
    <row r="727" spans="27:59" x14ac:dyDescent="0.25">
      <c r="AA727" s="55"/>
      <c r="AB727" s="55"/>
      <c r="AC727" s="55"/>
      <c r="AD727" s="55"/>
      <c r="AE727" s="55"/>
      <c r="AF727" s="55"/>
      <c r="AG727" s="55"/>
      <c r="AH727" s="55"/>
      <c r="AI727" s="55"/>
    </row>
    <row r="728" spans="27:59" x14ac:dyDescent="0.25">
      <c r="AA728" s="63"/>
      <c r="AB728" s="63"/>
      <c r="AC728" s="63"/>
      <c r="AD728" s="63"/>
      <c r="AE728" s="63"/>
      <c r="AF728" s="63"/>
      <c r="AG728" s="63" t="s">
        <v>103</v>
      </c>
      <c r="AH728" s="63"/>
      <c r="AI728" s="55"/>
      <c r="BG728" s="1" t="s">
        <v>1026</v>
      </c>
    </row>
    <row r="729" spans="27:59" x14ac:dyDescent="0.25">
      <c r="AA729" s="63"/>
      <c r="AB729" s="63"/>
      <c r="AC729" s="63"/>
      <c r="AD729" s="63"/>
      <c r="AE729" s="63"/>
      <c r="AF729" s="63"/>
      <c r="AG729" s="462"/>
      <c r="AH729" s="63"/>
      <c r="AI729" s="320"/>
    </row>
    <row r="730" spans="27:59" x14ac:dyDescent="0.25">
      <c r="AA730" s="63"/>
      <c r="AB730" s="63"/>
      <c r="AC730" s="63"/>
      <c r="AD730" s="63"/>
      <c r="AE730" s="63"/>
      <c r="AF730" s="63"/>
      <c r="AG730" s="462"/>
      <c r="AH730" s="63"/>
      <c r="AI730" s="320"/>
    </row>
    <row r="731" spans="27:59" x14ac:dyDescent="0.25">
      <c r="AA731" s="63"/>
      <c r="AB731" s="63"/>
      <c r="AC731" s="63"/>
      <c r="AD731" s="63"/>
      <c r="AE731" s="63"/>
      <c r="AF731" s="63"/>
      <c r="AG731" s="462"/>
      <c r="AH731" s="63"/>
      <c r="AI731" s="320"/>
    </row>
    <row r="732" spans="27:59" x14ac:dyDescent="0.25">
      <c r="AA732" s="63"/>
      <c r="AB732" s="63"/>
      <c r="AC732" s="63"/>
      <c r="AD732" s="63"/>
      <c r="AE732" s="63"/>
      <c r="AF732" s="63"/>
      <c r="AG732" s="462"/>
      <c r="AH732" s="63"/>
      <c r="AI732" s="320"/>
    </row>
    <row r="733" spans="27:59" x14ac:dyDescent="0.25">
      <c r="AA733" s="63"/>
      <c r="AB733" s="63"/>
      <c r="AC733" s="63"/>
      <c r="AD733" s="63"/>
      <c r="AE733" s="63"/>
      <c r="AF733" s="63"/>
      <c r="AG733" s="63"/>
      <c r="AH733" s="63"/>
      <c r="AI733" s="55"/>
    </row>
    <row r="734" spans="27:59" x14ac:dyDescent="0.25">
      <c r="AA734" s="63"/>
      <c r="AB734" s="63"/>
      <c r="AC734" s="63"/>
      <c r="AD734" s="63"/>
      <c r="AE734" s="63"/>
      <c r="AF734" s="63"/>
      <c r="AG734" s="63"/>
      <c r="AH734" s="63"/>
      <c r="AI734" s="55"/>
    </row>
    <row r="735" spans="27:59" x14ac:dyDescent="0.25">
      <c r="AA735" s="63"/>
      <c r="AB735" s="63"/>
      <c r="AC735" s="63"/>
      <c r="AD735" s="63"/>
      <c r="AE735" s="63"/>
      <c r="AF735" s="63"/>
      <c r="AG735" s="63"/>
      <c r="AH735" s="63"/>
      <c r="AI735" s="55"/>
    </row>
    <row r="736" spans="27:59" x14ac:dyDescent="0.25">
      <c r="AA736" s="63"/>
      <c r="AB736" s="63"/>
      <c r="AC736" s="63"/>
      <c r="AD736" s="63"/>
      <c r="AE736" s="63"/>
      <c r="AF736" s="63"/>
      <c r="AG736" s="63"/>
      <c r="AH736" s="63"/>
      <c r="AI736" s="55"/>
    </row>
    <row r="737" spans="27:61" x14ac:dyDescent="0.25">
      <c r="AA737" s="63"/>
      <c r="AB737" s="63"/>
      <c r="AC737" s="63"/>
      <c r="AD737" s="63"/>
      <c r="AE737" s="63"/>
      <c r="AF737" s="63"/>
      <c r="AG737" s="63"/>
      <c r="AH737" s="63"/>
      <c r="AI737" s="55"/>
    </row>
    <row r="738" spans="27:61" x14ac:dyDescent="0.25">
      <c r="AA738" s="63"/>
      <c r="AB738" s="63"/>
      <c r="AC738" s="63"/>
      <c r="AD738" s="63"/>
      <c r="AE738" s="63"/>
      <c r="AF738" s="63"/>
      <c r="AG738" s="63"/>
      <c r="AH738" s="63"/>
      <c r="AI738" s="55"/>
    </row>
    <row r="739" spans="27:61" x14ac:dyDescent="0.25">
      <c r="AA739" s="63" t="s">
        <v>104</v>
      </c>
      <c r="AB739" s="63"/>
      <c r="AC739" s="63"/>
      <c r="AD739" s="63"/>
      <c r="AE739" s="425"/>
      <c r="AF739" s="63"/>
      <c r="AG739" s="63"/>
      <c r="AH739" s="63"/>
      <c r="AI739" s="463"/>
      <c r="BA739" s="1" t="s">
        <v>1027</v>
      </c>
    </row>
    <row r="740" spans="27:61" x14ac:dyDescent="0.25">
      <c r="AA740" s="63" t="s">
        <v>795</v>
      </c>
      <c r="AB740" s="63"/>
      <c r="AC740" s="63"/>
      <c r="AD740" s="63"/>
      <c r="AE740" s="63"/>
      <c r="AF740" s="63"/>
      <c r="AG740" s="63"/>
      <c r="AH740" s="63"/>
      <c r="AI740" s="55"/>
      <c r="BA740" s="1" t="s">
        <v>169</v>
      </c>
    </row>
    <row r="741" spans="27:61" x14ac:dyDescent="0.25">
      <c r="AA741" s="63" t="s">
        <v>764</v>
      </c>
      <c r="AB741" s="63"/>
      <c r="AC741" s="63"/>
      <c r="AD741" s="63"/>
      <c r="AE741" s="63"/>
      <c r="AF741" s="63"/>
      <c r="AG741" s="63" t="s">
        <v>1136</v>
      </c>
      <c r="AH741" s="63" t="s">
        <v>25</v>
      </c>
      <c r="AI741" s="150" t="s">
        <v>765</v>
      </c>
      <c r="BA741" s="1" t="s">
        <v>156</v>
      </c>
      <c r="BG741" s="1" t="s">
        <v>1028</v>
      </c>
      <c r="BH741" s="1" t="s">
        <v>1029</v>
      </c>
      <c r="BI741" s="150" t="s">
        <v>668</v>
      </c>
    </row>
    <row r="742" spans="27:61" x14ac:dyDescent="0.25">
      <c r="AA742" s="63" t="s">
        <v>757</v>
      </c>
      <c r="AB742" s="63"/>
      <c r="AC742" s="63"/>
      <c r="AD742" s="63"/>
      <c r="AE742" s="63"/>
      <c r="AF742" s="63"/>
      <c r="AG742" s="63"/>
      <c r="AH742" s="464"/>
      <c r="AI742" s="465"/>
      <c r="BA742" s="1" t="s">
        <v>1081</v>
      </c>
    </row>
    <row r="743" spans="27:61" x14ac:dyDescent="0.25">
      <c r="AA743" s="63" t="s">
        <v>758</v>
      </c>
      <c r="AB743" s="63"/>
      <c r="AC743" s="63"/>
      <c r="AD743" s="63"/>
      <c r="AE743" s="63"/>
      <c r="AF743" s="466"/>
      <c r="AG743" s="433"/>
      <c r="AH743" s="467"/>
      <c r="AI743" s="465"/>
      <c r="BA743" s="1" t="s">
        <v>1092</v>
      </c>
    </row>
    <row r="744" spans="27:61" x14ac:dyDescent="0.25">
      <c r="AA744" s="63" t="s">
        <v>878</v>
      </c>
      <c r="AB744" s="63" t="s">
        <v>1148</v>
      </c>
      <c r="AC744" s="63" t="s">
        <v>1149</v>
      </c>
      <c r="AD744" s="63"/>
      <c r="AE744" s="63"/>
      <c r="AF744" s="63"/>
      <c r="AG744" s="63"/>
      <c r="AH744" s="464"/>
      <c r="AI744" s="465"/>
      <c r="BA744" s="1" t="s">
        <v>701</v>
      </c>
      <c r="BB744" s="1" t="s">
        <v>1030</v>
      </c>
      <c r="BC744" s="1" t="s">
        <v>1031</v>
      </c>
    </row>
    <row r="745" spans="27:61" x14ac:dyDescent="0.25">
      <c r="AA745" s="63" t="s">
        <v>786</v>
      </c>
      <c r="AB745" s="63"/>
      <c r="AC745" s="63"/>
      <c r="AD745" s="63"/>
      <c r="AE745" s="63"/>
      <c r="AF745" s="466"/>
      <c r="AG745" s="433"/>
      <c r="AH745" s="467"/>
      <c r="AI745" s="465"/>
      <c r="BA745" s="1" t="s">
        <v>663</v>
      </c>
    </row>
    <row r="746" spans="27:61" x14ac:dyDescent="0.25">
      <c r="AA746" s="63" t="s">
        <v>26</v>
      </c>
      <c r="AB746" s="63"/>
      <c r="AC746" s="63"/>
      <c r="AD746" s="63"/>
      <c r="AE746" s="63"/>
      <c r="AF746" s="466"/>
      <c r="AG746" s="433"/>
      <c r="AH746" s="467"/>
      <c r="AI746" s="465"/>
      <c r="BA746" s="1" t="s">
        <v>453</v>
      </c>
    </row>
    <row r="747" spans="27:61" x14ac:dyDescent="0.25">
      <c r="AA747" s="63" t="s">
        <v>213</v>
      </c>
      <c r="AB747" s="63"/>
      <c r="AC747" s="63"/>
      <c r="AD747" s="63"/>
      <c r="AE747" s="63"/>
      <c r="AF747" s="468"/>
      <c r="AG747" s="433"/>
      <c r="AH747" s="469"/>
      <c r="AI747" s="465"/>
      <c r="BA747" s="1" t="s">
        <v>702</v>
      </c>
    </row>
    <row r="748" spans="27:61" x14ac:dyDescent="0.25">
      <c r="AA748" s="63"/>
      <c r="AB748" s="63"/>
      <c r="AC748" s="63"/>
      <c r="AD748" s="63"/>
      <c r="AE748" s="63"/>
      <c r="AF748" s="468"/>
      <c r="AG748" s="433"/>
      <c r="AH748" s="470"/>
      <c r="AI748" s="465"/>
    </row>
    <row r="749" spans="27:61" x14ac:dyDescent="0.25">
      <c r="AA749" s="63" t="s">
        <v>28</v>
      </c>
      <c r="AB749" s="63"/>
      <c r="AC749" s="63"/>
      <c r="AD749" s="63"/>
      <c r="AE749" s="63"/>
      <c r="AF749" s="468"/>
      <c r="AG749" s="471"/>
      <c r="AH749" s="467"/>
      <c r="AI749" s="465"/>
      <c r="BA749" s="1" t="s">
        <v>454</v>
      </c>
    </row>
    <row r="750" spans="27:61" x14ac:dyDescent="0.25">
      <c r="AA750" s="63"/>
      <c r="AB750" s="63"/>
      <c r="AC750" s="63"/>
      <c r="AD750" s="63"/>
      <c r="AE750" s="63"/>
      <c r="AF750" s="468"/>
      <c r="AG750" s="471"/>
      <c r="AH750" s="467"/>
      <c r="AI750" s="465"/>
    </row>
    <row r="751" spans="27:61" x14ac:dyDescent="0.25">
      <c r="AA751" s="63" t="s">
        <v>700</v>
      </c>
      <c r="AB751" s="63"/>
      <c r="AC751" s="63"/>
      <c r="AD751" s="63"/>
      <c r="AE751" s="63"/>
      <c r="AF751" s="63"/>
      <c r="AG751" s="63"/>
      <c r="AH751" s="63"/>
      <c r="AI751" s="435"/>
      <c r="BA751" s="1" t="s">
        <v>1022</v>
      </c>
    </row>
    <row r="752" spans="27:61" x14ac:dyDescent="0.25">
      <c r="AA752" s="63" t="s">
        <v>84</v>
      </c>
      <c r="AB752" s="63"/>
      <c r="AC752" s="63"/>
      <c r="AD752" s="63"/>
      <c r="AE752" s="63"/>
      <c r="AF752" s="63"/>
      <c r="AG752" s="63"/>
      <c r="AH752" s="63"/>
      <c r="AI752" s="435"/>
      <c r="BA752" s="1" t="s">
        <v>713</v>
      </c>
    </row>
    <row r="753" spans="27:53" x14ac:dyDescent="0.25">
      <c r="AA753" s="63" t="s">
        <v>586</v>
      </c>
      <c r="AB753" s="63"/>
      <c r="AC753" s="63"/>
      <c r="AD753" s="63"/>
      <c r="AE753" s="63"/>
      <c r="AF753" s="63"/>
      <c r="AG753" s="63"/>
      <c r="AH753" s="63"/>
      <c r="AI753" s="435"/>
      <c r="BA753" s="1" t="s">
        <v>587</v>
      </c>
    </row>
    <row r="754" spans="27:53" x14ac:dyDescent="0.25">
      <c r="AA754" s="63" t="s">
        <v>1131</v>
      </c>
      <c r="AB754" s="63"/>
      <c r="AC754" s="63"/>
      <c r="AD754" s="63"/>
      <c r="AE754" s="63"/>
      <c r="AF754" s="63"/>
      <c r="AG754" s="63"/>
      <c r="AH754" s="320"/>
      <c r="AI754" s="270"/>
      <c r="BA754" s="1" t="s">
        <v>714</v>
      </c>
    </row>
    <row r="755" spans="27:53" x14ac:dyDescent="0.25">
      <c r="AA755" s="63"/>
      <c r="AB755" s="63"/>
      <c r="AC755" s="63"/>
      <c r="AD755" s="63"/>
      <c r="AE755" s="63"/>
      <c r="AF755" s="63"/>
      <c r="AG755" s="63"/>
      <c r="AH755" s="320"/>
      <c r="AI755" s="270"/>
    </row>
    <row r="756" spans="27:53" x14ac:dyDescent="0.25">
      <c r="AA756" s="64" t="s">
        <v>106</v>
      </c>
      <c r="AB756" s="63"/>
      <c r="AC756" s="63"/>
      <c r="AD756" s="63"/>
      <c r="AE756" s="63"/>
      <c r="AF756" s="468"/>
      <c r="AG756" s="433"/>
      <c r="AH756" s="470"/>
      <c r="AI756" s="465"/>
      <c r="BA756" s="1" t="s">
        <v>648</v>
      </c>
    </row>
    <row r="757" spans="27:53" x14ac:dyDescent="0.25">
      <c r="AA757" s="63"/>
      <c r="AB757" s="63"/>
      <c r="AC757" s="63"/>
      <c r="AD757" s="63"/>
      <c r="AE757" s="63"/>
      <c r="AF757" s="63"/>
      <c r="AG757" s="63"/>
      <c r="AH757" s="320"/>
      <c r="AI757" s="465"/>
    </row>
    <row r="758" spans="27:53" x14ac:dyDescent="0.25">
      <c r="AA758" s="63"/>
      <c r="AB758" s="63"/>
      <c r="AC758" s="63"/>
      <c r="AD758" s="63"/>
      <c r="AE758" s="63"/>
      <c r="AF758" s="63"/>
      <c r="AG758" s="63"/>
      <c r="AH758" s="320"/>
      <c r="AI758" s="465"/>
    </row>
    <row r="759" spans="27:53" x14ac:dyDescent="0.25">
      <c r="AA759" s="63" t="s">
        <v>26</v>
      </c>
      <c r="AB759" s="63"/>
      <c r="AC759" s="63"/>
      <c r="AD759" s="63"/>
      <c r="AE759" s="63"/>
      <c r="AF759" s="320"/>
      <c r="AG759" s="194"/>
      <c r="AH759" s="464"/>
      <c r="AI759" s="465"/>
      <c r="BA759" s="1" t="s">
        <v>453</v>
      </c>
    </row>
    <row r="760" spans="27:53" x14ac:dyDescent="0.25">
      <c r="AA760" s="63"/>
      <c r="AB760" s="63"/>
      <c r="AC760" s="63"/>
      <c r="AD760" s="63"/>
      <c r="AE760" s="63"/>
      <c r="AF760" s="320"/>
      <c r="AG760" s="63"/>
      <c r="AH760" s="320"/>
      <c r="AI760" s="465"/>
    </row>
    <row r="761" spans="27:53" x14ac:dyDescent="0.25">
      <c r="AA761" s="63" t="s">
        <v>35</v>
      </c>
      <c r="AB761" s="63"/>
      <c r="AC761" s="63"/>
      <c r="AD761" s="321"/>
      <c r="AE761" s="63"/>
      <c r="AF761" s="468"/>
      <c r="AG761" s="472"/>
      <c r="AH761" s="467"/>
      <c r="AI761" s="465"/>
      <c r="BA761" s="1" t="s">
        <v>703</v>
      </c>
    </row>
    <row r="762" spans="27:53" x14ac:dyDescent="0.25">
      <c r="AA762" s="63" t="s">
        <v>1137</v>
      </c>
      <c r="AB762" s="63"/>
      <c r="AC762" s="63"/>
      <c r="AD762" s="63"/>
      <c r="AE762" s="63"/>
      <c r="AF762" s="468"/>
      <c r="AG762" s="433"/>
      <c r="AH762" s="469"/>
      <c r="AI762" s="465"/>
      <c r="BA762" s="1" t="s">
        <v>703</v>
      </c>
    </row>
    <row r="763" spans="27:53" x14ac:dyDescent="0.25">
      <c r="AA763" s="63"/>
      <c r="AB763" s="63"/>
      <c r="AC763" s="63"/>
      <c r="AD763" s="63"/>
      <c r="AE763" s="63"/>
      <c r="AF763" s="468"/>
      <c r="AG763" s="433"/>
      <c r="AH763" s="470"/>
      <c r="AI763" s="465"/>
    </row>
    <row r="764" spans="27:53" x14ac:dyDescent="0.25">
      <c r="AA764" s="64"/>
      <c r="AB764" s="63"/>
      <c r="AC764" s="63"/>
      <c r="AD764" s="63"/>
      <c r="AE764" s="63"/>
      <c r="AF764" s="63"/>
      <c r="AG764" s="63"/>
      <c r="AH764" s="63"/>
      <c r="AI764" s="270"/>
    </row>
    <row r="765" spans="27:53" x14ac:dyDescent="0.25">
      <c r="AA765" s="64"/>
      <c r="AB765" s="63"/>
      <c r="AC765" s="63"/>
      <c r="AD765" s="63"/>
      <c r="AE765" s="63"/>
      <c r="AF765" s="63"/>
      <c r="AG765" s="63"/>
      <c r="AH765" s="63"/>
      <c r="AI765" s="270"/>
    </row>
    <row r="766" spans="27:53" x14ac:dyDescent="0.25">
      <c r="AA766" s="64"/>
      <c r="AB766" s="63"/>
      <c r="AC766" s="63"/>
      <c r="AD766" s="63"/>
      <c r="AE766" s="63"/>
      <c r="AF766" s="63"/>
      <c r="AG766" s="63"/>
      <c r="AH766" s="63"/>
      <c r="AI766" s="270"/>
    </row>
    <row r="767" spans="27:53" x14ac:dyDescent="0.25">
      <c r="AA767" s="64"/>
      <c r="AB767" s="63"/>
      <c r="AC767" s="63"/>
      <c r="AD767" s="63"/>
      <c r="AE767" s="63"/>
      <c r="AF767" s="63"/>
      <c r="AG767" s="63"/>
      <c r="AH767" s="63"/>
      <c r="AI767" s="270"/>
    </row>
    <row r="768" spans="27:53" x14ac:dyDescent="0.25">
      <c r="AA768" s="311" t="s">
        <v>1131</v>
      </c>
      <c r="AB768" s="63"/>
      <c r="AC768" s="63"/>
      <c r="AD768" s="63"/>
      <c r="AE768" s="63"/>
      <c r="AF768" s="63"/>
      <c r="AG768" s="63"/>
      <c r="AH768" s="320"/>
      <c r="AI768" s="270"/>
      <c r="BA768" s="1" t="s">
        <v>1021</v>
      </c>
    </row>
    <row r="769" spans="27:53" x14ac:dyDescent="0.25">
      <c r="AA769" s="63"/>
      <c r="AB769" s="63"/>
      <c r="AC769" s="63"/>
      <c r="AD769" s="63"/>
      <c r="AE769" s="63"/>
      <c r="AF769" s="63"/>
      <c r="AG769" s="63"/>
      <c r="AH769" s="320"/>
      <c r="AI769" s="270"/>
    </row>
    <row r="770" spans="27:53" x14ac:dyDescent="0.25">
      <c r="AA770" s="63"/>
      <c r="AB770" s="63"/>
      <c r="AC770" s="63"/>
      <c r="AD770" s="63"/>
      <c r="AE770" s="63"/>
      <c r="AF770" s="468"/>
      <c r="AG770" s="433"/>
      <c r="AH770" s="470"/>
      <c r="AI770" s="465"/>
    </row>
    <row r="771" spans="27:53" x14ac:dyDescent="0.25">
      <c r="AA771" s="63" t="s">
        <v>241</v>
      </c>
      <c r="AB771" s="63"/>
      <c r="AC771" s="63"/>
      <c r="AD771" s="63"/>
      <c r="AE771" s="63"/>
      <c r="AF771" s="468"/>
      <c r="AG771" s="433"/>
      <c r="AH771" s="470"/>
      <c r="AI771" s="270"/>
      <c r="BA771" s="1" t="s">
        <v>704</v>
      </c>
    </row>
    <row r="772" spans="27:53" x14ac:dyDescent="0.25">
      <c r="AA772" s="63"/>
      <c r="AB772" s="63"/>
      <c r="AC772" s="63"/>
      <c r="AD772" s="63"/>
      <c r="AE772" s="63"/>
      <c r="AF772" s="468"/>
      <c r="AG772" s="433"/>
      <c r="AH772" s="470"/>
      <c r="AI772" s="465"/>
    </row>
    <row r="773" spans="27:53" x14ac:dyDescent="0.25">
      <c r="AA773" s="63" t="s">
        <v>107</v>
      </c>
      <c r="AB773" s="63"/>
      <c r="AC773" s="63"/>
      <c r="AD773" s="63"/>
      <c r="AE773" s="63"/>
      <c r="AF773" s="63"/>
      <c r="AG773" s="63"/>
      <c r="AH773" s="320"/>
      <c r="AI773" s="473"/>
      <c r="BA773" s="1" t="s">
        <v>186</v>
      </c>
    </row>
    <row r="774" spans="27:53" x14ac:dyDescent="0.25">
      <c r="AA774" s="63"/>
      <c r="AB774" s="63"/>
      <c r="AC774" s="63"/>
      <c r="AD774" s="63"/>
      <c r="AE774" s="63"/>
      <c r="AF774" s="63"/>
      <c r="AG774" s="63"/>
      <c r="AH774" s="320"/>
      <c r="AI774" s="473"/>
    </row>
    <row r="775" spans="27:53" x14ac:dyDescent="0.25">
      <c r="AA775" s="63" t="s">
        <v>108</v>
      </c>
      <c r="AB775" s="63"/>
      <c r="AC775" s="63"/>
      <c r="AD775" s="63"/>
      <c r="AE775" s="63"/>
      <c r="AF775" s="63"/>
      <c r="AG775" s="63"/>
      <c r="AH775" s="320"/>
      <c r="AI775" s="55"/>
      <c r="BA775" s="1" t="s">
        <v>705</v>
      </c>
    </row>
    <row r="776" spans="27:53" x14ac:dyDescent="0.25">
      <c r="AA776" s="63" t="s">
        <v>109</v>
      </c>
      <c r="AB776" s="63"/>
      <c r="AC776" s="63"/>
      <c r="AD776" s="63"/>
      <c r="AE776" s="63"/>
      <c r="AF776" s="63"/>
      <c r="AG776" s="474"/>
      <c r="AH776" s="467"/>
      <c r="AI776" s="270"/>
      <c r="BA776" s="1" t="s">
        <v>268</v>
      </c>
    </row>
    <row r="777" spans="27:53" x14ac:dyDescent="0.25">
      <c r="AA777" s="63" t="s">
        <v>110</v>
      </c>
      <c r="AB777" s="63"/>
      <c r="AC777" s="63"/>
      <c r="AD777" s="63"/>
      <c r="AE777" s="63"/>
      <c r="AF777" s="63"/>
      <c r="AG777" s="474"/>
      <c r="AH777" s="467"/>
      <c r="AI777" s="270"/>
      <c r="BA777" s="1" t="s">
        <v>706</v>
      </c>
    </row>
    <row r="778" spans="27:53" x14ac:dyDescent="0.25">
      <c r="AA778" s="311" t="s">
        <v>950</v>
      </c>
      <c r="AB778" s="63"/>
      <c r="AC778" s="63"/>
      <c r="AD778" s="63"/>
      <c r="AE778" s="63"/>
      <c r="AF778" s="63"/>
      <c r="AG778" s="474"/>
      <c r="AH778" s="467"/>
      <c r="AI778" s="270"/>
      <c r="BA778" s="1" t="s">
        <v>275</v>
      </c>
    </row>
    <row r="779" spans="27:53" x14ac:dyDescent="0.25">
      <c r="AA779" s="63" t="s">
        <v>111</v>
      </c>
      <c r="AB779" s="63"/>
      <c r="AC779" s="63"/>
      <c r="AD779" s="63"/>
      <c r="AE779" s="63"/>
      <c r="AF779" s="63"/>
      <c r="AG779" s="375"/>
      <c r="AH779" s="467"/>
      <c r="AI779" s="270"/>
      <c r="BA779" s="1" t="s">
        <v>707</v>
      </c>
    </row>
    <row r="780" spans="27:53" x14ac:dyDescent="0.25">
      <c r="AA780" s="63" t="s">
        <v>1122</v>
      </c>
      <c r="AB780" s="63"/>
      <c r="AC780" s="63"/>
      <c r="AD780" s="63"/>
      <c r="AE780" s="63"/>
      <c r="AF780" s="475"/>
      <c r="AG780" s="476"/>
      <c r="AH780" s="467"/>
      <c r="AI780" s="270"/>
      <c r="BA780" s="1" t="s">
        <v>708</v>
      </c>
    </row>
    <row r="781" spans="27:53" x14ac:dyDescent="0.25">
      <c r="AA781" s="63" t="s">
        <v>1123</v>
      </c>
      <c r="AB781" s="63"/>
      <c r="AC781" s="63"/>
      <c r="AD781" s="63"/>
      <c r="AE781" s="63"/>
      <c r="AF781" s="475"/>
      <c r="AG781" s="476"/>
      <c r="AH781" s="467"/>
      <c r="AI781" s="270"/>
      <c r="BA781" s="1" t="s">
        <v>709</v>
      </c>
    </row>
    <row r="782" spans="27:53" x14ac:dyDescent="0.25">
      <c r="AA782" s="63"/>
      <c r="AB782" s="63"/>
      <c r="AC782" s="63"/>
      <c r="AD782" s="63"/>
      <c r="AE782" s="63"/>
      <c r="AF782" s="475"/>
      <c r="AG782" s="476"/>
      <c r="AH782" s="467"/>
      <c r="AI782" s="270"/>
    </row>
    <row r="783" spans="27:53" x14ac:dyDescent="0.25">
      <c r="AA783" s="64" t="s">
        <v>398</v>
      </c>
      <c r="AB783" s="63"/>
      <c r="AC783" s="63"/>
      <c r="AD783" s="63"/>
      <c r="AE783" s="63"/>
      <c r="AF783" s="475"/>
      <c r="AG783" s="476"/>
      <c r="AH783" s="467"/>
      <c r="AI783" s="270"/>
      <c r="BA783" s="1" t="s">
        <v>399</v>
      </c>
    </row>
    <row r="784" spans="27:53" x14ac:dyDescent="0.25">
      <c r="AA784" s="87" t="s">
        <v>919</v>
      </c>
      <c r="AB784" s="87"/>
      <c r="AC784" s="87"/>
      <c r="AD784" s="87"/>
      <c r="AE784" s="87"/>
      <c r="AF784" s="87"/>
      <c r="AG784" s="87"/>
      <c r="AH784" s="87"/>
      <c r="AI784" s="87"/>
      <c r="AJ784" s="96"/>
      <c r="AK784" s="96"/>
      <c r="AL784" s="96"/>
      <c r="AM784" s="96"/>
      <c r="AN784" s="96"/>
      <c r="AO784" s="96"/>
      <c r="AP784" s="96"/>
      <c r="AQ784" s="479"/>
      <c r="AR784" s="479"/>
      <c r="BA784" s="1" t="s">
        <v>921</v>
      </c>
    </row>
    <row r="785" spans="26:53" x14ac:dyDescent="0.25">
      <c r="AA785" s="64"/>
      <c r="AB785" s="63"/>
      <c r="AC785" s="63"/>
      <c r="AD785" s="63"/>
      <c r="AE785" s="63"/>
      <c r="AF785" s="475"/>
      <c r="AG785" s="476"/>
      <c r="AH785" s="467"/>
      <c r="AI785" s="270"/>
    </row>
    <row r="786" spans="26:53" x14ac:dyDescent="0.25">
      <c r="AA786" s="87" t="s">
        <v>920</v>
      </c>
      <c r="AB786" s="87"/>
      <c r="AC786" s="87"/>
      <c r="AD786" s="87"/>
      <c r="AE786" s="87"/>
      <c r="AF786" s="87"/>
      <c r="AG786" s="87"/>
      <c r="AH786" s="87"/>
      <c r="AI786" s="87"/>
      <c r="AJ786" s="96"/>
      <c r="AK786" s="96"/>
      <c r="AL786" s="96"/>
      <c r="AM786" s="96"/>
      <c r="AN786" s="96"/>
      <c r="AO786" s="96"/>
      <c r="AP786" s="96"/>
      <c r="AQ786" s="479"/>
      <c r="AR786" s="479"/>
      <c r="BA786" s="1" t="s">
        <v>922</v>
      </c>
    </row>
    <row r="787" spans="26:53" x14ac:dyDescent="0.25">
      <c r="AA787" s="64"/>
      <c r="AB787" s="63"/>
      <c r="AC787" s="63"/>
      <c r="AD787" s="63"/>
      <c r="AE787" s="63"/>
      <c r="AF787" s="475"/>
      <c r="AG787" s="476"/>
      <c r="AH787" s="467"/>
      <c r="AI787" s="270"/>
    </row>
    <row r="788" spans="26:53" x14ac:dyDescent="0.25">
      <c r="AA788" s="63" t="s">
        <v>31</v>
      </c>
      <c r="AB788" s="63"/>
      <c r="AC788" s="63"/>
      <c r="AD788" s="63"/>
      <c r="AE788" s="63"/>
      <c r="AF788" s="475"/>
      <c r="AG788" s="476"/>
      <c r="AH788" s="467"/>
      <c r="AI788" s="270"/>
      <c r="BA788" s="1" t="s">
        <v>710</v>
      </c>
    </row>
    <row r="789" spans="26:53" x14ac:dyDescent="0.25">
      <c r="Z789" s="96"/>
      <c r="AA789" s="63"/>
      <c r="AB789" s="63"/>
      <c r="AC789" s="63"/>
      <c r="AD789" s="63"/>
      <c r="AE789" s="63"/>
      <c r="AF789" s="475"/>
      <c r="AG789" s="476"/>
      <c r="AH789" s="467"/>
      <c r="AI789" s="270"/>
    </row>
    <row r="790" spans="26:53" x14ac:dyDescent="0.25">
      <c r="AA790" s="63" t="s">
        <v>111</v>
      </c>
      <c r="AB790" s="63"/>
      <c r="AC790" s="63"/>
      <c r="AD790" s="63"/>
      <c r="AE790" s="63"/>
      <c r="AF790" s="475"/>
      <c r="AG790" s="476"/>
      <c r="AH790" s="467"/>
      <c r="AI790" s="270"/>
      <c r="BA790" s="1" t="s">
        <v>707</v>
      </c>
    </row>
    <row r="791" spans="26:53" x14ac:dyDescent="0.25">
      <c r="Z791" s="96"/>
      <c r="AA791" s="63"/>
      <c r="AB791" s="63"/>
      <c r="AC791" s="63"/>
      <c r="AD791" s="63"/>
      <c r="AE791" s="63"/>
      <c r="AF791" s="475"/>
      <c r="AG791" s="476"/>
      <c r="AH791" s="467"/>
      <c r="AI791" s="270"/>
    </row>
    <row r="792" spans="26:53" x14ac:dyDescent="0.25">
      <c r="AA792" s="63" t="s">
        <v>32</v>
      </c>
      <c r="AB792" s="63"/>
      <c r="AC792" s="63"/>
      <c r="AD792" s="63"/>
      <c r="AE792" s="63"/>
      <c r="AF792" s="475"/>
      <c r="AG792" s="476"/>
      <c r="AH792" s="467"/>
      <c r="AI792" s="270"/>
      <c r="BA792" s="1" t="s">
        <v>275</v>
      </c>
    </row>
    <row r="793" spans="26:53" x14ac:dyDescent="0.25">
      <c r="AA793" s="63"/>
      <c r="AB793" s="63"/>
      <c r="AC793" s="63"/>
      <c r="AD793" s="63"/>
      <c r="AE793" s="63"/>
      <c r="AF793" s="475"/>
      <c r="AG793" s="476"/>
      <c r="AH793" s="467"/>
      <c r="AI793" s="270"/>
    </row>
    <row r="794" spans="26:53" x14ac:dyDescent="0.25">
      <c r="AA794" s="63" t="s">
        <v>33</v>
      </c>
      <c r="AB794" s="63"/>
      <c r="AC794" s="63"/>
      <c r="AD794" s="63"/>
      <c r="AE794" s="63"/>
      <c r="AF794" s="475"/>
      <c r="AG794" s="476"/>
      <c r="AH794" s="467"/>
      <c r="AI794" s="270"/>
      <c r="BA794" s="1" t="s">
        <v>711</v>
      </c>
    </row>
    <row r="795" spans="26:53" x14ac:dyDescent="0.25">
      <c r="AA795" s="63"/>
      <c r="AB795" s="63"/>
      <c r="AC795" s="63"/>
      <c r="AD795" s="63"/>
      <c r="AE795" s="63"/>
      <c r="AF795" s="475"/>
      <c r="AG795" s="476"/>
      <c r="AH795" s="467"/>
      <c r="AI795" s="270"/>
    </row>
    <row r="796" spans="26:53" x14ac:dyDescent="0.25">
      <c r="AA796" s="63"/>
      <c r="AB796" s="63"/>
      <c r="AC796" s="63"/>
      <c r="AD796" s="63"/>
      <c r="AE796" s="63"/>
      <c r="AF796" s="475"/>
      <c r="AG796" s="476"/>
      <c r="AH796" s="467"/>
      <c r="AI796" s="270"/>
    </row>
    <row r="797" spans="26:53" x14ac:dyDescent="0.25">
      <c r="AA797" s="63" t="s">
        <v>1124</v>
      </c>
      <c r="AB797" s="63"/>
      <c r="AC797" s="63"/>
      <c r="AD797" s="63"/>
      <c r="AE797" s="63"/>
      <c r="AF797" s="63"/>
      <c r="AG797" s="63"/>
      <c r="AH797" s="320"/>
      <c r="AI797" s="473"/>
      <c r="BA797" s="1" t="s">
        <v>712</v>
      </c>
    </row>
    <row r="798" spans="26:53" x14ac:dyDescent="0.25">
      <c r="AA798" s="63"/>
      <c r="AB798" s="63"/>
      <c r="AC798" s="63"/>
      <c r="AD798" s="63"/>
      <c r="AE798" s="63"/>
      <c r="AF798" s="63"/>
      <c r="AG798" s="63"/>
      <c r="AH798" s="320"/>
      <c r="AI798" s="473"/>
    </row>
    <row r="799" spans="26:53" x14ac:dyDescent="0.25">
      <c r="AA799" s="63" t="s">
        <v>1125</v>
      </c>
      <c r="AB799" s="63"/>
      <c r="AC799" s="63"/>
      <c r="AD799" s="63"/>
      <c r="AE799" s="63"/>
      <c r="AF799" s="63"/>
      <c r="AG799" s="63"/>
      <c r="AH799" s="63"/>
      <c r="AI799" s="473"/>
      <c r="BA799" s="1" t="s">
        <v>975</v>
      </c>
    </row>
    <row r="800" spans="26:53" x14ac:dyDescent="0.25">
      <c r="AA800" s="63"/>
      <c r="AB800" s="63"/>
      <c r="AC800" s="63"/>
      <c r="AD800" s="63"/>
      <c r="AE800" s="63"/>
      <c r="AF800" s="63"/>
      <c r="AG800" s="63"/>
      <c r="AH800" s="63"/>
      <c r="AI800" s="473"/>
    </row>
    <row r="801" spans="27:53" x14ac:dyDescent="0.25">
      <c r="AA801" s="63" t="s">
        <v>1126</v>
      </c>
      <c r="AB801" s="63"/>
      <c r="AC801" s="63"/>
      <c r="AD801" s="63"/>
      <c r="AE801" s="63"/>
      <c r="AF801" s="63"/>
      <c r="AG801" s="474"/>
      <c r="AH801" s="467"/>
      <c r="AI801" s="270"/>
      <c r="BA801" s="1" t="s">
        <v>278</v>
      </c>
    </row>
    <row r="802" spans="27:53" x14ac:dyDescent="0.25">
      <c r="AA802" s="63" t="s">
        <v>1130</v>
      </c>
      <c r="AB802" s="63"/>
      <c r="AC802" s="63"/>
      <c r="AD802" s="63"/>
      <c r="AE802" s="63"/>
      <c r="AF802" s="63"/>
      <c r="AG802" s="474"/>
      <c r="AH802" s="467"/>
      <c r="AI802" s="270"/>
      <c r="BA802" s="1" t="s">
        <v>715</v>
      </c>
    </row>
    <row r="803" spans="27:53" x14ac:dyDescent="0.25">
      <c r="AA803" s="63"/>
      <c r="AB803" s="63"/>
      <c r="AC803" s="63"/>
      <c r="AD803" s="63"/>
      <c r="AE803" s="63"/>
      <c r="AF803" s="63"/>
      <c r="AG803" s="474"/>
      <c r="AH803" s="467"/>
      <c r="AI803" s="270"/>
    </row>
    <row r="804" spans="27:53" x14ac:dyDescent="0.25">
      <c r="AA804" s="63"/>
      <c r="AB804" s="63"/>
      <c r="AC804" s="63"/>
      <c r="AD804" s="63"/>
      <c r="AE804" s="63"/>
      <c r="AF804" s="63"/>
      <c r="AG804" s="474"/>
      <c r="AH804" s="467"/>
      <c r="AI804" s="270"/>
    </row>
    <row r="805" spans="27:53" x14ac:dyDescent="0.25">
      <c r="AA805" s="64" t="s">
        <v>106</v>
      </c>
      <c r="AB805" s="63"/>
      <c r="AC805" s="63"/>
      <c r="AD805" s="63"/>
      <c r="AE805" s="63"/>
      <c r="AF805" s="63"/>
      <c r="AG805" s="63"/>
      <c r="AH805" s="63"/>
      <c r="AI805" s="270"/>
      <c r="BA805" s="1" t="s">
        <v>648</v>
      </c>
    </row>
    <row r="806" spans="27:53" x14ac:dyDescent="0.25">
      <c r="AA806" s="63" t="s">
        <v>96</v>
      </c>
      <c r="AB806" s="63"/>
      <c r="AC806" s="63"/>
      <c r="AD806" s="63"/>
      <c r="AE806" s="63"/>
      <c r="AF806" s="63"/>
      <c r="AG806" s="474"/>
      <c r="AH806" s="467"/>
      <c r="AI806" s="270"/>
      <c r="BA806" s="1" t="s">
        <v>716</v>
      </c>
    </row>
    <row r="807" spans="27:53" x14ac:dyDescent="0.25">
      <c r="AA807" s="311" t="s">
        <v>766</v>
      </c>
      <c r="AB807" s="63"/>
      <c r="AC807" s="63"/>
      <c r="AD807" s="63"/>
      <c r="AE807" s="63"/>
      <c r="AF807" s="63"/>
      <c r="AG807" s="63"/>
      <c r="AH807" s="63"/>
      <c r="AI807" s="270"/>
      <c r="BA807" s="1" t="s">
        <v>1024</v>
      </c>
    </row>
    <row r="808" spans="27:53" x14ac:dyDescent="0.25">
      <c r="AA808" s="63"/>
      <c r="AB808" s="63"/>
      <c r="AC808" s="63"/>
      <c r="AD808" s="63"/>
      <c r="AE808" s="63"/>
      <c r="AF808" s="63"/>
      <c r="AG808" s="63"/>
      <c r="AH808" s="63"/>
      <c r="AI808" s="270"/>
    </row>
    <row r="809" spans="27:53" x14ac:dyDescent="0.25">
      <c r="AA809" s="311" t="s">
        <v>1130</v>
      </c>
      <c r="AB809" s="63"/>
      <c r="AC809" s="63"/>
      <c r="AD809" s="63"/>
      <c r="AE809" s="63"/>
      <c r="AF809" s="63"/>
      <c r="AG809" s="63"/>
      <c r="AH809" s="320"/>
      <c r="AI809" s="270"/>
      <c r="BA809" s="1" t="s">
        <v>717</v>
      </c>
    </row>
    <row r="810" spans="27:53" x14ac:dyDescent="0.25">
      <c r="AA810" s="63"/>
      <c r="AB810" s="63"/>
      <c r="AC810" s="63"/>
      <c r="AD810" s="63"/>
      <c r="AE810" s="63"/>
      <c r="AF810" s="63"/>
      <c r="AG810" s="63"/>
      <c r="AH810" s="320"/>
      <c r="AI810" s="270"/>
    </row>
    <row r="811" spans="27:53" x14ac:dyDescent="0.25">
      <c r="AA811" s="63"/>
      <c r="AB811" s="63"/>
      <c r="AC811" s="63"/>
      <c r="AD811" s="63"/>
      <c r="AE811" s="63"/>
      <c r="AF811" s="63"/>
      <c r="AG811" s="63"/>
      <c r="AH811" s="320"/>
      <c r="AI811" s="270"/>
    </row>
    <row r="812" spans="27:53" x14ac:dyDescent="0.25">
      <c r="AA812" s="311" t="s">
        <v>242</v>
      </c>
      <c r="AB812" s="63"/>
      <c r="AC812" s="63"/>
      <c r="AD812" s="63"/>
      <c r="AE812" s="63"/>
      <c r="AF812" s="63"/>
      <c r="AG812" s="63"/>
      <c r="AH812" s="63"/>
      <c r="AI812" s="465"/>
      <c r="BA812" s="1" t="s">
        <v>718</v>
      </c>
    </row>
    <row r="813" spans="27:53" x14ac:dyDescent="0.25">
      <c r="AA813" s="63" t="s">
        <v>1132</v>
      </c>
      <c r="AB813" s="63"/>
      <c r="AC813" s="63"/>
      <c r="AD813" s="311"/>
      <c r="AE813" s="63"/>
      <c r="AF813" s="63"/>
      <c r="AG813" s="63"/>
      <c r="AH813" s="63"/>
      <c r="AI813" s="270"/>
      <c r="BA813" s="1" t="s">
        <v>719</v>
      </c>
    </row>
    <row r="814" spans="27:53" x14ac:dyDescent="0.25">
      <c r="AA814" s="63"/>
      <c r="AB814" s="63"/>
      <c r="AC814" s="63"/>
      <c r="AD814" s="311"/>
      <c r="AE814" s="63"/>
      <c r="AF814" s="63"/>
      <c r="AG814" s="63"/>
      <c r="AH814" s="63"/>
      <c r="AI814" s="270"/>
    </row>
    <row r="815" spans="27:53" x14ac:dyDescent="0.25">
      <c r="AA815" s="63"/>
      <c r="AB815" s="63"/>
      <c r="AC815" s="63"/>
      <c r="AD815" s="311"/>
      <c r="AE815" s="63"/>
      <c r="AF815" s="63"/>
      <c r="AG815" s="63"/>
      <c r="AH815" s="63"/>
      <c r="AI815" s="270"/>
    </row>
    <row r="816" spans="27:53" x14ac:dyDescent="0.25">
      <c r="AA816" s="63" t="s">
        <v>1133</v>
      </c>
      <c r="AB816" s="63"/>
      <c r="AC816" s="63"/>
      <c r="AD816" s="321"/>
      <c r="AE816" s="63"/>
      <c r="AF816" s="63"/>
      <c r="AG816" s="320"/>
      <c r="AH816" s="63"/>
      <c r="AI816" s="473"/>
      <c r="BA816" s="1" t="s">
        <v>720</v>
      </c>
    </row>
    <row r="817" spans="27:57" x14ac:dyDescent="0.25">
      <c r="AA817" s="63"/>
      <c r="AB817" s="63"/>
      <c r="AC817" s="63"/>
      <c r="AD817" s="321"/>
      <c r="AE817" s="63"/>
      <c r="AF817" s="63"/>
      <c r="AG817" s="320"/>
      <c r="AH817" s="63"/>
      <c r="AI817" s="473"/>
    </row>
    <row r="818" spans="27:57" x14ac:dyDescent="0.25">
      <c r="AA818" s="63" t="s">
        <v>736</v>
      </c>
      <c r="AB818" s="63"/>
      <c r="AC818" s="63"/>
      <c r="AD818" s="321"/>
      <c r="AE818" s="63" t="s">
        <v>621</v>
      </c>
      <c r="AF818" s="63"/>
      <c r="AG818" s="320"/>
      <c r="AH818" s="63"/>
      <c r="AI818" s="473"/>
      <c r="BA818" s="1" t="s">
        <v>1210</v>
      </c>
      <c r="BE818" s="1" t="s">
        <v>427</v>
      </c>
    </row>
    <row r="819" spans="27:57" x14ac:dyDescent="0.25">
      <c r="AA819" s="63"/>
      <c r="AB819" s="63"/>
      <c r="AC819" s="63"/>
      <c r="AD819" s="321"/>
      <c r="AE819" s="63"/>
      <c r="AF819" s="63"/>
      <c r="AG819" s="320"/>
      <c r="AH819" s="63"/>
      <c r="AI819" s="473"/>
    </row>
    <row r="820" spans="27:57" x14ac:dyDescent="0.25">
      <c r="AA820" s="63" t="s">
        <v>1135</v>
      </c>
      <c r="AB820" s="63"/>
      <c r="AC820" s="63"/>
      <c r="AD820" s="321"/>
      <c r="AE820" s="63"/>
      <c r="AF820" s="63"/>
      <c r="AG820" s="63"/>
      <c r="AH820" s="63"/>
      <c r="AI820" s="55"/>
      <c r="BA820" s="1" t="s">
        <v>1211</v>
      </c>
    </row>
    <row r="821" spans="27:57" x14ac:dyDescent="0.25">
      <c r="AA821" s="63"/>
      <c r="AB821" s="63"/>
      <c r="AC821" s="63"/>
      <c r="AD821" s="321"/>
      <c r="AE821" s="63"/>
      <c r="AF821" s="63"/>
      <c r="AG821" s="63"/>
      <c r="AH821" s="63"/>
      <c r="AI821" s="55"/>
    </row>
    <row r="822" spans="27:57" x14ac:dyDescent="0.25">
      <c r="AA822" s="63"/>
      <c r="AB822" s="63"/>
      <c r="AC822" s="63"/>
      <c r="AD822" s="321"/>
      <c r="AE822" s="63"/>
      <c r="AF822" s="63"/>
      <c r="AG822" s="63"/>
      <c r="AH822" s="63"/>
      <c r="AI822" s="55"/>
    </row>
    <row r="823" spans="27:57" x14ac:dyDescent="0.25">
      <c r="AA823" s="322"/>
      <c r="AB823" s="63"/>
      <c r="AC823" s="63"/>
      <c r="AD823" s="63"/>
      <c r="AE823" s="63"/>
      <c r="AF823" s="63"/>
      <c r="AG823" s="63"/>
      <c r="AH823" s="63"/>
      <c r="AI823" s="55"/>
    </row>
    <row r="824" spans="27:57" x14ac:dyDescent="0.25">
      <c r="AA824" s="322"/>
      <c r="AB824" s="63"/>
      <c r="AC824" s="63"/>
      <c r="AD824" s="63"/>
      <c r="AE824" s="63"/>
      <c r="AF824" s="63"/>
      <c r="AG824" s="63"/>
      <c r="AH824" s="63"/>
      <c r="AI824" s="55"/>
    </row>
    <row r="825" spans="27:57" x14ac:dyDescent="0.25">
      <c r="AA825" s="63" t="s">
        <v>1337</v>
      </c>
      <c r="AB825" s="63"/>
      <c r="AC825" s="63"/>
      <c r="AD825" s="63"/>
      <c r="AE825" s="63"/>
      <c r="AF825" s="63"/>
      <c r="AG825" s="63"/>
      <c r="AH825" s="63"/>
      <c r="AI825" s="55"/>
      <c r="BA825" s="1" t="s">
        <v>732</v>
      </c>
    </row>
    <row r="826" spans="27:57" x14ac:dyDescent="0.25">
      <c r="AA826" s="63" t="s">
        <v>1336</v>
      </c>
      <c r="AB826" s="55"/>
      <c r="AC826" s="55"/>
      <c r="AD826" s="55"/>
      <c r="AE826" s="55"/>
      <c r="AF826" s="55"/>
      <c r="AG826" s="55"/>
      <c r="AH826" s="55"/>
      <c r="AI826" s="55"/>
      <c r="BA826" s="1" t="s">
        <v>731</v>
      </c>
    </row>
    <row r="827" spans="27:57" x14ac:dyDescent="0.25">
      <c r="AA827" s="55"/>
      <c r="AB827" s="55"/>
      <c r="AC827" s="55"/>
      <c r="AD827" s="55"/>
      <c r="AE827" s="55"/>
      <c r="AF827" s="55"/>
      <c r="AG827" s="55"/>
      <c r="AH827" s="55"/>
      <c r="AI827" s="55"/>
    </row>
    <row r="836" spans="27:67" x14ac:dyDescent="0.25">
      <c r="AA836" s="415" t="s">
        <v>1056</v>
      </c>
      <c r="AB836" s="415">
        <f>ROW()</f>
        <v>836</v>
      </c>
      <c r="AC836" s="415"/>
      <c r="AD836" s="415"/>
      <c r="AE836" s="415"/>
      <c r="AF836" s="415"/>
      <c r="AG836" s="415"/>
      <c r="AH836" s="415"/>
      <c r="AI836" s="415"/>
      <c r="AJ836" s="415"/>
      <c r="AK836" s="415"/>
      <c r="AL836" s="415"/>
      <c r="AM836" s="415"/>
      <c r="AN836" s="415"/>
      <c r="AO836" s="415"/>
    </row>
    <row r="837" spans="27:67" x14ac:dyDescent="0.25">
      <c r="AA837" s="534" t="s">
        <v>859</v>
      </c>
      <c r="AB837" s="415"/>
      <c r="AC837" s="415"/>
      <c r="AD837" s="415"/>
      <c r="AE837" s="415"/>
      <c r="AF837" s="415"/>
      <c r="AG837" s="415"/>
      <c r="AH837" s="415"/>
      <c r="AI837" s="415"/>
      <c r="AJ837" s="415"/>
      <c r="AK837" s="415"/>
      <c r="AL837" s="415"/>
      <c r="AM837" s="415"/>
      <c r="AN837" s="415"/>
      <c r="AO837" s="415"/>
      <c r="BA837" s="445" t="s">
        <v>1212</v>
      </c>
      <c r="BB837" s="445"/>
      <c r="BC837" s="445"/>
      <c r="BD837" s="445"/>
      <c r="BE837" s="445"/>
      <c r="BF837" s="445"/>
      <c r="BG837" s="445"/>
      <c r="BH837" s="445"/>
      <c r="BI837" s="445"/>
      <c r="BJ837" s="445"/>
      <c r="BK837" s="445"/>
      <c r="BL837" s="445"/>
      <c r="BM837" s="445"/>
      <c r="BN837" s="445"/>
      <c r="BO837" s="445"/>
    </row>
    <row r="838" spans="27:67" x14ac:dyDescent="0.25">
      <c r="AA838" s="87"/>
      <c r="AB838" s="87"/>
      <c r="AC838" s="87"/>
      <c r="AD838" s="87"/>
      <c r="AE838" s="87"/>
      <c r="AF838" s="87"/>
      <c r="AG838" s="87"/>
      <c r="AH838" s="87"/>
      <c r="AI838" s="87"/>
      <c r="AJ838" s="87"/>
      <c r="AK838" s="87"/>
      <c r="AL838" s="87"/>
      <c r="AM838" s="87"/>
      <c r="AN838" s="87"/>
      <c r="AO838" s="87"/>
    </row>
    <row r="839" spans="27:67" x14ac:dyDescent="0.25">
      <c r="AA839" s="87"/>
      <c r="AB839" s="87"/>
      <c r="AC839" s="87"/>
      <c r="AD839" s="87"/>
      <c r="AE839" s="87"/>
      <c r="AF839" s="87"/>
      <c r="AG839" s="87"/>
      <c r="AH839" s="87"/>
      <c r="AI839" s="87"/>
      <c r="AJ839" s="87"/>
      <c r="AK839" s="87"/>
      <c r="AL839" s="87"/>
      <c r="AM839" s="87"/>
      <c r="AN839" s="87"/>
      <c r="AO839" s="87"/>
    </row>
    <row r="840" spans="27:67" x14ac:dyDescent="0.25">
      <c r="AA840" s="87" t="s">
        <v>540</v>
      </c>
      <c r="AB840" s="87"/>
      <c r="AC840" s="87"/>
      <c r="AD840" s="87"/>
      <c r="AE840" s="87"/>
      <c r="AF840" s="87"/>
      <c r="AG840" s="87" t="s">
        <v>536</v>
      </c>
      <c r="AH840" s="87"/>
      <c r="AI840" s="87"/>
      <c r="AJ840" s="87"/>
      <c r="AK840" s="87"/>
      <c r="AL840" s="87"/>
      <c r="AM840" s="87"/>
      <c r="AN840" s="87"/>
      <c r="AO840" s="87"/>
      <c r="BA840" s="1" t="s">
        <v>495</v>
      </c>
      <c r="BG840" s="1" t="s">
        <v>1213</v>
      </c>
    </row>
    <row r="841" spans="27:67" x14ac:dyDescent="0.25">
      <c r="AA841" s="87"/>
      <c r="AB841" s="87"/>
      <c r="AC841" s="87"/>
      <c r="AD841" s="87"/>
      <c r="AE841" s="87"/>
      <c r="AF841" s="87"/>
      <c r="AG841" s="87" t="s">
        <v>537</v>
      </c>
      <c r="AH841" s="87"/>
      <c r="AI841" s="87"/>
      <c r="AJ841" s="87"/>
      <c r="AK841" s="87"/>
      <c r="AL841" s="87"/>
      <c r="AM841" s="87"/>
      <c r="AN841" s="87"/>
      <c r="AO841" s="87"/>
      <c r="BG841" s="1" t="s">
        <v>1214</v>
      </c>
    </row>
    <row r="842" spans="27:67" x14ac:dyDescent="0.25">
      <c r="AA842" s="87" t="s">
        <v>527</v>
      </c>
      <c r="AB842" s="87"/>
      <c r="AC842" s="87"/>
      <c r="AD842" s="87"/>
      <c r="AE842" s="87"/>
      <c r="AF842" s="87"/>
      <c r="AG842" s="87" t="s">
        <v>538</v>
      </c>
      <c r="AH842" s="87"/>
      <c r="AI842" s="87"/>
      <c r="AJ842" s="87"/>
      <c r="AK842" s="87"/>
      <c r="AL842" s="87"/>
      <c r="AM842" s="87"/>
      <c r="AN842" s="87"/>
      <c r="AO842" s="87"/>
      <c r="BA842" s="1" t="s">
        <v>496</v>
      </c>
      <c r="BG842" s="1" t="s">
        <v>1215</v>
      </c>
    </row>
    <row r="843" spans="27:67" x14ac:dyDescent="0.25">
      <c r="AA843" s="87"/>
      <c r="AB843" s="87"/>
      <c r="AC843" s="87"/>
      <c r="AD843" s="87"/>
      <c r="AE843" s="87"/>
      <c r="AF843" s="87"/>
      <c r="AG843" s="87" t="s">
        <v>539</v>
      </c>
      <c r="AH843" s="87"/>
      <c r="AI843" s="87"/>
      <c r="AJ843" s="87"/>
      <c r="AK843" s="87"/>
      <c r="AL843" s="87"/>
      <c r="AM843" s="87"/>
      <c r="AN843" s="87"/>
      <c r="AO843" s="87"/>
      <c r="BG843" s="1" t="s">
        <v>1216</v>
      </c>
    </row>
    <row r="844" spans="27:67" x14ac:dyDescent="0.25">
      <c r="AA844" s="87"/>
      <c r="AB844" s="87"/>
      <c r="AC844" s="87"/>
      <c r="AD844" s="87"/>
      <c r="AE844" s="87"/>
      <c r="AF844" s="87"/>
      <c r="AG844" s="87"/>
      <c r="AH844" s="87"/>
      <c r="AI844" s="87"/>
      <c r="AJ844" s="87"/>
      <c r="AK844" s="87"/>
      <c r="AL844" s="87"/>
      <c r="AM844" s="87"/>
      <c r="AN844" s="87"/>
      <c r="AO844" s="87"/>
    </row>
    <row r="845" spans="27:67" x14ac:dyDescent="0.25">
      <c r="AA845" s="87" t="s">
        <v>528</v>
      </c>
      <c r="AB845" s="87"/>
      <c r="AC845" s="87"/>
      <c r="AD845" s="87"/>
      <c r="AE845" s="87"/>
      <c r="AF845" s="87"/>
      <c r="AG845" s="87"/>
      <c r="AH845" s="87"/>
      <c r="AI845" s="535"/>
      <c r="AJ845" s="87"/>
      <c r="AK845" s="87"/>
      <c r="AL845" s="87"/>
      <c r="AM845" s="87"/>
      <c r="AN845" s="87"/>
      <c r="AO845" s="87"/>
      <c r="BA845" s="1" t="s">
        <v>1217</v>
      </c>
    </row>
    <row r="846" spans="27:67" x14ac:dyDescent="0.25">
      <c r="AA846" s="87" t="s">
        <v>1041</v>
      </c>
      <c r="AB846" s="87"/>
      <c r="AC846" s="87"/>
      <c r="AD846" s="87"/>
      <c r="AE846" s="87"/>
      <c r="AF846" s="87"/>
      <c r="AG846" s="87"/>
      <c r="AH846" s="87"/>
      <c r="AI846" s="535"/>
      <c r="AJ846" s="87"/>
      <c r="AK846" s="87"/>
      <c r="AL846" s="87"/>
      <c r="AM846" s="87"/>
      <c r="AN846" s="87"/>
      <c r="AO846" s="87"/>
      <c r="BA846" s="96" t="s">
        <v>1188</v>
      </c>
    </row>
    <row r="847" spans="27:67" x14ac:dyDescent="0.25">
      <c r="AA847" s="87" t="s">
        <v>547</v>
      </c>
      <c r="AB847" s="87"/>
      <c r="AC847" s="87"/>
      <c r="AD847" s="87"/>
      <c r="AE847" s="87"/>
      <c r="AF847" s="87"/>
      <c r="AG847" s="87"/>
      <c r="AH847" s="87"/>
      <c r="AI847" s="535"/>
      <c r="AJ847" s="87"/>
      <c r="AK847" s="87"/>
      <c r="AL847" s="87"/>
      <c r="AM847" s="87"/>
      <c r="AN847" s="87"/>
      <c r="AO847" s="87"/>
      <c r="BA847" s="1" t="s">
        <v>497</v>
      </c>
    </row>
    <row r="848" spans="27:67" x14ac:dyDescent="0.25">
      <c r="AA848" s="87" t="s">
        <v>529</v>
      </c>
      <c r="AB848" s="87"/>
      <c r="AC848" s="87"/>
      <c r="AD848" s="87"/>
      <c r="AE848" s="87"/>
      <c r="AF848" s="87"/>
      <c r="AG848" s="87"/>
      <c r="AH848" s="87"/>
      <c r="AI848" s="535"/>
      <c r="AJ848" s="87"/>
      <c r="AK848" s="87"/>
      <c r="AL848" s="87"/>
      <c r="AM848" s="87"/>
      <c r="AN848" s="87"/>
      <c r="AO848" s="87"/>
      <c r="BA848" s="1" t="s">
        <v>498</v>
      </c>
    </row>
    <row r="849" spans="27:53" x14ac:dyDescent="0.25">
      <c r="AA849" s="87" t="s">
        <v>530</v>
      </c>
      <c r="AB849" s="87"/>
      <c r="AC849" s="87"/>
      <c r="AD849" s="87"/>
      <c r="AE849" s="87"/>
      <c r="AF849" s="87"/>
      <c r="AG849" s="87"/>
      <c r="AH849" s="87"/>
      <c r="AI849" s="535"/>
      <c r="AJ849" s="87"/>
      <c r="AK849" s="87"/>
      <c r="AL849" s="87"/>
      <c r="AM849" s="87"/>
      <c r="AN849" s="87"/>
      <c r="AO849" s="87"/>
      <c r="BA849" s="1" t="s">
        <v>499</v>
      </c>
    </row>
    <row r="850" spans="27:53" ht="12.75" customHeight="1" x14ac:dyDescent="0.25">
      <c r="AA850" s="87" t="s">
        <v>541</v>
      </c>
      <c r="AB850" s="87"/>
      <c r="AC850" s="87"/>
      <c r="AD850" s="87"/>
      <c r="AE850" s="87"/>
      <c r="AF850" s="87"/>
      <c r="AG850" s="87"/>
      <c r="AH850" s="87"/>
      <c r="AI850" s="535"/>
      <c r="AJ850" s="87"/>
      <c r="AK850" s="87"/>
      <c r="AL850" s="87"/>
      <c r="AM850" s="87"/>
      <c r="AN850" s="87"/>
      <c r="AO850" s="87"/>
      <c r="BA850" s="1" t="s">
        <v>500</v>
      </c>
    </row>
    <row r="851" spans="27:53" x14ac:dyDescent="0.25">
      <c r="AA851" s="87"/>
      <c r="AB851" s="87"/>
      <c r="AC851" s="87"/>
      <c r="AD851" s="87"/>
      <c r="AE851" s="87"/>
      <c r="AF851" s="87"/>
      <c r="AG851" s="87"/>
      <c r="AH851" s="87"/>
      <c r="AI851" s="535"/>
      <c r="AJ851" s="87"/>
      <c r="AK851" s="87"/>
      <c r="AL851" s="87"/>
      <c r="AM851" s="87"/>
      <c r="AN851" s="87"/>
      <c r="AO851" s="87"/>
    </row>
    <row r="852" spans="27:53" x14ac:dyDescent="0.25">
      <c r="AA852" s="87" t="s">
        <v>531</v>
      </c>
      <c r="AB852" s="87"/>
      <c r="AC852" s="87"/>
      <c r="AD852" s="87"/>
      <c r="AE852" s="87"/>
      <c r="AF852" s="87"/>
      <c r="AG852" s="87"/>
      <c r="AH852" s="87"/>
      <c r="AI852" s="535"/>
      <c r="AJ852" s="87"/>
      <c r="AK852" s="87"/>
      <c r="AL852" s="87"/>
      <c r="AM852" s="87"/>
      <c r="AN852" s="87"/>
      <c r="AO852" s="87"/>
      <c r="BA852" s="1" t="s">
        <v>1024</v>
      </c>
    </row>
    <row r="853" spans="27:53" x14ac:dyDescent="0.25">
      <c r="AA853" s="87" t="s">
        <v>532</v>
      </c>
      <c r="AB853" s="87"/>
      <c r="AC853" s="87"/>
      <c r="AD853" s="87"/>
      <c r="AE853" s="87"/>
      <c r="AF853" s="87"/>
      <c r="AG853" s="87"/>
      <c r="AH853" s="87"/>
      <c r="AI853" s="535"/>
      <c r="AJ853" s="87"/>
      <c r="AK853" s="87"/>
      <c r="AL853" s="87"/>
      <c r="AM853" s="87"/>
      <c r="AN853" s="87"/>
      <c r="AO853" s="87"/>
      <c r="BA853" s="1" t="s">
        <v>501</v>
      </c>
    </row>
    <row r="854" spans="27:53" x14ac:dyDescent="0.25">
      <c r="AA854" s="87" t="s">
        <v>533</v>
      </c>
      <c r="AB854" s="87"/>
      <c r="AC854" s="87"/>
      <c r="AD854" s="87"/>
      <c r="AE854" s="87"/>
      <c r="AF854" s="87"/>
      <c r="AG854" s="87"/>
      <c r="AH854" s="87"/>
      <c r="AI854" s="535"/>
      <c r="AJ854" s="87"/>
      <c r="AK854" s="87"/>
      <c r="AL854" s="87"/>
      <c r="AM854" s="87"/>
      <c r="AN854" s="87"/>
      <c r="AO854" s="87"/>
      <c r="BA854" s="1" t="s">
        <v>502</v>
      </c>
    </row>
    <row r="855" spans="27:53" x14ac:dyDescent="0.25">
      <c r="AA855" s="87" t="s">
        <v>534</v>
      </c>
      <c r="AB855" s="87"/>
      <c r="AC855" s="87"/>
      <c r="AD855" s="87"/>
      <c r="AE855" s="87"/>
      <c r="AF855" s="87"/>
      <c r="AG855" s="87"/>
      <c r="AH855" s="87"/>
      <c r="AI855" s="535"/>
      <c r="AJ855" s="87"/>
      <c r="AK855" s="87"/>
      <c r="AL855" s="87"/>
      <c r="AM855" s="87"/>
      <c r="AN855" s="87"/>
      <c r="AO855" s="87"/>
      <c r="BA855" s="1" t="s">
        <v>503</v>
      </c>
    </row>
    <row r="856" spans="27:53" x14ac:dyDescent="0.25">
      <c r="AA856" s="87" t="s">
        <v>535</v>
      </c>
      <c r="AB856" s="87"/>
      <c r="AC856" s="87"/>
      <c r="AD856" s="87"/>
      <c r="AE856" s="87"/>
      <c r="AF856" s="87"/>
      <c r="AG856" s="87"/>
      <c r="AH856" s="87"/>
      <c r="AI856" s="535"/>
      <c r="AJ856" s="87"/>
      <c r="AK856" s="87"/>
      <c r="AL856" s="87"/>
      <c r="AM856" s="87"/>
      <c r="AN856" s="87"/>
      <c r="AO856" s="87"/>
      <c r="BA856" s="1" t="s">
        <v>121</v>
      </c>
    </row>
    <row r="857" spans="27:53" x14ac:dyDescent="0.25">
      <c r="AA857" s="87" t="s">
        <v>232</v>
      </c>
      <c r="AB857" s="87"/>
      <c r="AC857" s="87"/>
      <c r="AD857" s="87"/>
      <c r="AE857" s="87"/>
      <c r="AF857" s="87"/>
      <c r="AG857" s="87"/>
      <c r="AH857" s="87"/>
      <c r="AI857" s="535"/>
      <c r="AJ857" s="87"/>
      <c r="AK857" s="87"/>
      <c r="AL857" s="87"/>
      <c r="AM857" s="87"/>
      <c r="AN857" s="87"/>
      <c r="AO857" s="87"/>
      <c r="BA857" s="1" t="s">
        <v>232</v>
      </c>
    </row>
    <row r="858" spans="27:53" x14ac:dyDescent="0.25">
      <c r="AA858" s="87"/>
      <c r="AB858" s="87"/>
      <c r="AC858" s="87"/>
      <c r="AD858" s="87"/>
      <c r="AE858" s="87"/>
      <c r="AF858" s="87"/>
      <c r="AG858" s="87"/>
      <c r="AH858" s="87"/>
      <c r="AI858" s="535"/>
      <c r="AJ858" s="87"/>
      <c r="AK858" s="87"/>
      <c r="AL858" s="87"/>
      <c r="AM858" s="87"/>
      <c r="AN858" s="87"/>
      <c r="AO858" s="87"/>
    </row>
    <row r="859" spans="27:53" x14ac:dyDescent="0.25">
      <c r="AA859" s="87" t="s">
        <v>951</v>
      </c>
      <c r="AB859" s="87"/>
      <c r="AC859" s="87"/>
      <c r="AD859" s="87"/>
      <c r="AE859" s="87"/>
      <c r="AF859" s="87"/>
      <c r="AG859" s="87"/>
      <c r="AH859" s="87"/>
      <c r="AI859" s="535"/>
      <c r="AJ859" s="87"/>
      <c r="AK859" s="87"/>
      <c r="AL859" s="87"/>
      <c r="AM859" s="87"/>
      <c r="AN859" s="87"/>
      <c r="AO859" s="87"/>
      <c r="BA859" s="1" t="s">
        <v>1021</v>
      </c>
    </row>
    <row r="860" spans="27:53" x14ac:dyDescent="0.25">
      <c r="AA860" s="382"/>
      <c r="AB860" s="480"/>
      <c r="AC860" s="480"/>
      <c r="AD860" s="480"/>
      <c r="AE860" s="480"/>
      <c r="AF860" s="480"/>
      <c r="AG860" s="480"/>
      <c r="AH860" s="480"/>
      <c r="AI860" s="480"/>
      <c r="AJ860" s="480"/>
      <c r="AK860" s="480"/>
      <c r="AL860" s="480"/>
      <c r="AM860" s="480"/>
      <c r="AN860" s="480"/>
      <c r="AO860" s="480"/>
    </row>
    <row r="861" spans="27:53" x14ac:dyDescent="0.25">
      <c r="AA861" s="480"/>
      <c r="AB861" s="480"/>
      <c r="AC861" s="480"/>
      <c r="AD861" s="480"/>
      <c r="AE861" s="480"/>
      <c r="AF861" s="480"/>
      <c r="AG861" s="480"/>
      <c r="AH861" s="480"/>
      <c r="AI861" s="480"/>
      <c r="AJ861" s="480"/>
      <c r="AK861" s="480"/>
      <c r="AL861" s="480"/>
      <c r="AM861" s="480"/>
      <c r="AN861" s="480"/>
      <c r="AO861" s="480"/>
    </row>
    <row r="862" spans="27:53" x14ac:dyDescent="0.25">
      <c r="AA862" s="480"/>
      <c r="AB862" s="480"/>
      <c r="AC862" s="480"/>
      <c r="AD862" s="480"/>
      <c r="AE862" s="480"/>
      <c r="AF862" s="480"/>
      <c r="AG862" s="480"/>
      <c r="AH862" s="480"/>
      <c r="AI862" s="480"/>
      <c r="AJ862" s="480"/>
      <c r="AK862" s="480"/>
      <c r="AL862" s="480"/>
      <c r="AM862" s="480"/>
      <c r="AN862" s="480"/>
      <c r="AO862" s="480"/>
    </row>
    <row r="863" spans="27:53" x14ac:dyDescent="0.25">
      <c r="AA863" s="480" t="s">
        <v>549</v>
      </c>
      <c r="AB863" s="480"/>
      <c r="AC863" s="480"/>
      <c r="AD863" s="480"/>
      <c r="AE863" s="480"/>
      <c r="AF863" s="480"/>
      <c r="AG863" s="480"/>
      <c r="AH863" s="480"/>
      <c r="AI863" s="480"/>
      <c r="AJ863" s="480"/>
      <c r="AK863" s="480"/>
      <c r="AL863" s="480"/>
      <c r="AM863" s="480"/>
      <c r="AN863" s="480"/>
      <c r="AO863" s="480"/>
      <c r="BA863" s="1" t="s">
        <v>122</v>
      </c>
    </row>
    <row r="864" spans="27:53" x14ac:dyDescent="0.25">
      <c r="AA864" s="480"/>
      <c r="AB864" s="480"/>
      <c r="AC864" s="480"/>
      <c r="AD864" s="480"/>
      <c r="AE864" s="480"/>
      <c r="AF864" s="480"/>
      <c r="AG864" s="480"/>
      <c r="AH864" s="480"/>
      <c r="AI864" s="480"/>
      <c r="AJ864" s="480"/>
      <c r="AK864" s="480"/>
      <c r="AL864" s="480"/>
      <c r="AM864" s="480"/>
      <c r="AN864" s="480"/>
      <c r="AO864" s="480"/>
    </row>
    <row r="865" spans="27:67" x14ac:dyDescent="0.25">
      <c r="AA865" s="480"/>
      <c r="AB865" s="480"/>
      <c r="AC865" s="480" t="s">
        <v>218</v>
      </c>
      <c r="AD865" s="480" t="s">
        <v>219</v>
      </c>
      <c r="AE865" s="480" t="s">
        <v>220</v>
      </c>
      <c r="AF865" s="480" t="s">
        <v>221</v>
      </c>
      <c r="AG865" s="480" t="s">
        <v>222</v>
      </c>
      <c r="AH865" s="480" t="s">
        <v>223</v>
      </c>
      <c r="AI865" s="480" t="s">
        <v>224</v>
      </c>
      <c r="AJ865" s="480" t="s">
        <v>225</v>
      </c>
      <c r="AK865" s="480" t="s">
        <v>226</v>
      </c>
      <c r="AL865" s="480" t="s">
        <v>227</v>
      </c>
      <c r="AM865" s="480" t="s">
        <v>228</v>
      </c>
      <c r="AN865" s="480" t="s">
        <v>879</v>
      </c>
      <c r="AO865" s="480" t="s">
        <v>232</v>
      </c>
      <c r="BC865" s="1" t="s">
        <v>123</v>
      </c>
      <c r="BD865" s="1" t="s">
        <v>124</v>
      </c>
      <c r="BE865" s="1" t="s">
        <v>125</v>
      </c>
      <c r="BF865" s="1" t="s">
        <v>126</v>
      </c>
      <c r="BG865" s="1" t="s">
        <v>222</v>
      </c>
      <c r="BH865" s="1" t="s">
        <v>127</v>
      </c>
      <c r="BI865" s="1" t="s">
        <v>128</v>
      </c>
      <c r="BJ865" s="1" t="s">
        <v>129</v>
      </c>
      <c r="BK865" s="1" t="s">
        <v>130</v>
      </c>
      <c r="BL865" s="1" t="s">
        <v>131</v>
      </c>
      <c r="BM865" s="1" t="s">
        <v>132</v>
      </c>
      <c r="BN865" s="1" t="s">
        <v>133</v>
      </c>
      <c r="BO865" s="1" t="s">
        <v>232</v>
      </c>
    </row>
    <row r="866" spans="27:67" x14ac:dyDescent="0.25">
      <c r="AA866" s="480"/>
      <c r="AB866" s="480"/>
      <c r="AC866" s="480"/>
      <c r="AD866" s="480"/>
      <c r="AE866" s="480"/>
      <c r="AF866" s="480"/>
      <c r="AG866" s="480"/>
      <c r="AH866" s="480"/>
      <c r="AI866" s="480"/>
      <c r="AJ866" s="480"/>
      <c r="AK866" s="480"/>
      <c r="AL866" s="480"/>
      <c r="AM866" s="480"/>
      <c r="AN866" s="480"/>
      <c r="AO866" s="480"/>
    </row>
    <row r="867" spans="27:67" x14ac:dyDescent="0.25">
      <c r="AA867" s="480"/>
      <c r="AB867" s="480"/>
      <c r="AC867" s="480"/>
      <c r="AD867" s="480"/>
      <c r="AE867" s="480"/>
      <c r="AF867" s="480"/>
      <c r="AG867" s="480"/>
      <c r="AH867" s="480"/>
      <c r="AI867" s="480"/>
      <c r="AJ867" s="480"/>
      <c r="AK867" s="480"/>
      <c r="AL867" s="480"/>
      <c r="AM867" s="480"/>
      <c r="AN867" s="480"/>
      <c r="AO867" s="480"/>
    </row>
    <row r="868" spans="27:67" x14ac:dyDescent="0.25">
      <c r="AA868" s="480"/>
      <c r="AB868" s="480"/>
      <c r="AC868" s="480"/>
      <c r="AD868" s="480"/>
      <c r="AE868" s="480"/>
      <c r="AF868" s="480"/>
      <c r="AG868" s="480"/>
      <c r="AH868" s="480"/>
      <c r="AI868" s="480"/>
      <c r="AJ868" s="480"/>
      <c r="AK868" s="480"/>
      <c r="AL868" s="480"/>
      <c r="AM868" s="480"/>
      <c r="AN868" s="480"/>
      <c r="AO868" s="480"/>
    </row>
    <row r="875" spans="27:67" x14ac:dyDescent="0.25">
      <c r="AA875" s="415" t="s">
        <v>1056</v>
      </c>
      <c r="AB875" s="415">
        <f>ROW()</f>
        <v>875</v>
      </c>
      <c r="AC875" s="415"/>
      <c r="AD875" s="415"/>
    </row>
    <row r="876" spans="27:67" x14ac:dyDescent="0.25">
      <c r="AA876" s="547" t="s">
        <v>372</v>
      </c>
      <c r="AB876" s="415"/>
      <c r="AC876" s="415"/>
      <c r="AD876" s="415"/>
      <c r="BA876" s="445" t="s">
        <v>373</v>
      </c>
      <c r="BB876" s="445"/>
      <c r="BC876" s="445"/>
      <c r="BD876" s="445"/>
    </row>
    <row r="877" spans="27:67" x14ac:dyDescent="0.25">
      <c r="AA877" s="96" t="s">
        <v>388</v>
      </c>
      <c r="BA877" s="96" t="s">
        <v>1218</v>
      </c>
    </row>
    <row r="878" spans="27:67" x14ac:dyDescent="0.25">
      <c r="AA878" s="96" t="s">
        <v>332</v>
      </c>
      <c r="BA878" s="96" t="s">
        <v>588</v>
      </c>
    </row>
    <row r="879" spans="27:67" x14ac:dyDescent="0.25">
      <c r="AA879" s="96" t="s">
        <v>581</v>
      </c>
      <c r="BA879" s="96" t="s">
        <v>589</v>
      </c>
    </row>
    <row r="880" spans="27:67" x14ac:dyDescent="0.25">
      <c r="AA880" s="96" t="s">
        <v>333</v>
      </c>
      <c r="BA880" s="96" t="s">
        <v>256</v>
      </c>
    </row>
    <row r="881" spans="27:56" x14ac:dyDescent="0.25">
      <c r="AA881" s="96" t="s">
        <v>1366</v>
      </c>
      <c r="BA881" s="96" t="s">
        <v>1367</v>
      </c>
    </row>
    <row r="882" spans="27:56" x14ac:dyDescent="0.25">
      <c r="AA882" s="96"/>
      <c r="BA882" s="96"/>
    </row>
    <row r="883" spans="27:56" x14ac:dyDescent="0.25">
      <c r="AA883" s="96"/>
    </row>
    <row r="884" spans="27:56" x14ac:dyDescent="0.25">
      <c r="AA884" s="96"/>
    </row>
    <row r="885" spans="27:56" x14ac:dyDescent="0.25">
      <c r="AA885" s="96"/>
    </row>
    <row r="886" spans="27:56" x14ac:dyDescent="0.25">
      <c r="AA886" s="96" t="s">
        <v>389</v>
      </c>
      <c r="AC886" s="96" t="s">
        <v>390</v>
      </c>
      <c r="BA886" s="96" t="s">
        <v>307</v>
      </c>
      <c r="BC886" s="96" t="s">
        <v>257</v>
      </c>
    </row>
    <row r="887" spans="27:56" x14ac:dyDescent="0.25">
      <c r="AA887" s="1" t="s">
        <v>860</v>
      </c>
      <c r="AD887" s="1" t="s">
        <v>605</v>
      </c>
      <c r="BA887" s="1" t="s">
        <v>591</v>
      </c>
      <c r="BD887" s="1" t="s">
        <v>659</v>
      </c>
    </row>
    <row r="888" spans="27:56" x14ac:dyDescent="0.25">
      <c r="AA888" s="1" t="s">
        <v>485</v>
      </c>
      <c r="AD888" s="1" t="s">
        <v>621</v>
      </c>
      <c r="BA888" s="96" t="s">
        <v>491</v>
      </c>
      <c r="BD888" s="1" t="s">
        <v>989</v>
      </c>
    </row>
    <row r="889" spans="27:56" x14ac:dyDescent="0.25">
      <c r="AA889" s="96" t="s">
        <v>391</v>
      </c>
      <c r="AD889" s="1" t="s">
        <v>882</v>
      </c>
      <c r="BA889" s="1" t="s">
        <v>308</v>
      </c>
      <c r="BD889" s="1" t="s">
        <v>313</v>
      </c>
    </row>
    <row r="890" spans="27:56" x14ac:dyDescent="0.25">
      <c r="AA890" s="1" t="s">
        <v>392</v>
      </c>
      <c r="AD890" s="1" t="s">
        <v>882</v>
      </c>
      <c r="BA890" s="1" t="s">
        <v>309</v>
      </c>
      <c r="BD890" s="1" t="s">
        <v>313</v>
      </c>
    </row>
    <row r="891" spans="27:56" x14ac:dyDescent="0.25">
      <c r="AA891" s="1" t="s">
        <v>550</v>
      </c>
      <c r="AD891" s="1" t="s">
        <v>882</v>
      </c>
      <c r="BA891" s="1" t="s">
        <v>314</v>
      </c>
      <c r="BD891" s="1" t="s">
        <v>313</v>
      </c>
    </row>
    <row r="892" spans="27:56" x14ac:dyDescent="0.25">
      <c r="AA892" s="1" t="s">
        <v>551</v>
      </c>
      <c r="AD892" s="1" t="s">
        <v>882</v>
      </c>
      <c r="BA892" s="1" t="s">
        <v>315</v>
      </c>
      <c r="BD892" s="1" t="s">
        <v>313</v>
      </c>
    </row>
    <row r="893" spans="27:56" x14ac:dyDescent="0.25">
      <c r="AA893" s="1" t="s">
        <v>552</v>
      </c>
      <c r="AD893" s="1" t="s">
        <v>882</v>
      </c>
      <c r="BA893" s="1" t="s">
        <v>316</v>
      </c>
      <c r="BD893" s="1" t="s">
        <v>313</v>
      </c>
    </row>
    <row r="894" spans="27:56" x14ac:dyDescent="0.25">
      <c r="AA894" s="1" t="s">
        <v>553</v>
      </c>
      <c r="AD894" s="1" t="s">
        <v>882</v>
      </c>
      <c r="BA894" s="1" t="s">
        <v>317</v>
      </c>
      <c r="BD894" s="1" t="s">
        <v>313</v>
      </c>
    </row>
    <row r="895" spans="27:56" x14ac:dyDescent="0.25">
      <c r="AA895" s="1" t="s">
        <v>554</v>
      </c>
      <c r="AD895" s="1" t="s">
        <v>882</v>
      </c>
      <c r="BA895" s="1" t="s">
        <v>318</v>
      </c>
      <c r="BD895" s="1" t="s">
        <v>313</v>
      </c>
    </row>
    <row r="896" spans="27:56" x14ac:dyDescent="0.25">
      <c r="AA896" s="96" t="s">
        <v>393</v>
      </c>
      <c r="AD896" s="1" t="s">
        <v>605</v>
      </c>
      <c r="BA896" s="96" t="s">
        <v>898</v>
      </c>
      <c r="BD896" s="1" t="s">
        <v>659</v>
      </c>
    </row>
    <row r="897" spans="27:56" x14ac:dyDescent="0.25">
      <c r="AA897" s="96" t="s">
        <v>394</v>
      </c>
      <c r="AD897" s="1" t="s">
        <v>605</v>
      </c>
      <c r="BA897" s="96" t="s">
        <v>258</v>
      </c>
      <c r="BD897" s="1" t="s">
        <v>659</v>
      </c>
    </row>
    <row r="898" spans="27:56" x14ac:dyDescent="0.25">
      <c r="AA898" s="96" t="s">
        <v>395</v>
      </c>
      <c r="AD898" s="1" t="s">
        <v>605</v>
      </c>
      <c r="BA898" s="96" t="s">
        <v>259</v>
      </c>
      <c r="BD898" s="1" t="s">
        <v>659</v>
      </c>
    </row>
    <row r="899" spans="27:56" x14ac:dyDescent="0.25">
      <c r="AA899" s="96" t="s">
        <v>396</v>
      </c>
      <c r="AD899" s="1" t="s">
        <v>735</v>
      </c>
      <c r="BA899" s="96" t="s">
        <v>260</v>
      </c>
      <c r="BD899" s="1" t="s">
        <v>722</v>
      </c>
    </row>
    <row r="900" spans="27:56" x14ac:dyDescent="0.25">
      <c r="AA900" s="96" t="s">
        <v>397</v>
      </c>
      <c r="AD900" s="1" t="s">
        <v>735</v>
      </c>
      <c r="BA900" s="96" t="s">
        <v>896</v>
      </c>
      <c r="BD900" s="1" t="s">
        <v>722</v>
      </c>
    </row>
    <row r="901" spans="27:56" x14ac:dyDescent="0.25">
      <c r="AA901" s="96" t="s">
        <v>371</v>
      </c>
      <c r="AD901" s="1" t="s">
        <v>735</v>
      </c>
      <c r="BA901" s="96" t="s">
        <v>897</v>
      </c>
      <c r="BD901" s="1" t="s">
        <v>722</v>
      </c>
    </row>
    <row r="906" spans="27:56" x14ac:dyDescent="0.25">
      <c r="AA906" s="415" t="s">
        <v>1056</v>
      </c>
      <c r="AB906" s="415">
        <f>ROW()</f>
        <v>906</v>
      </c>
      <c r="AC906" s="415"/>
      <c r="AD906" s="415"/>
    </row>
    <row r="907" spans="27:56" x14ac:dyDescent="0.25">
      <c r="AA907" s="415" t="s">
        <v>326</v>
      </c>
      <c r="AB907" s="415"/>
      <c r="AC907" s="415"/>
      <c r="AD907" s="415"/>
      <c r="BA907" s="445" t="s">
        <v>373</v>
      </c>
      <c r="BB907" s="445"/>
      <c r="BC907" s="445"/>
      <c r="BD907" s="445"/>
    </row>
    <row r="908" spans="27:56" x14ac:dyDescent="0.25">
      <c r="AA908" s="1" t="s">
        <v>327</v>
      </c>
      <c r="BA908" s="96" t="s">
        <v>1218</v>
      </c>
    </row>
    <row r="909" spans="27:56" x14ac:dyDescent="0.25">
      <c r="AA909" s="1" t="s">
        <v>328</v>
      </c>
      <c r="BA909" s="96" t="s">
        <v>899</v>
      </c>
    </row>
    <row r="910" spans="27:56" x14ac:dyDescent="0.25">
      <c r="AA910" s="1" t="s">
        <v>581</v>
      </c>
      <c r="BA910" s="96" t="s">
        <v>589</v>
      </c>
    </row>
    <row r="911" spans="27:56" x14ac:dyDescent="0.25">
      <c r="AA911" s="1" t="s">
        <v>329</v>
      </c>
      <c r="BA911" s="96" t="s">
        <v>900</v>
      </c>
    </row>
    <row r="912" spans="27:56" x14ac:dyDescent="0.25">
      <c r="AA912" s="1" t="s">
        <v>1366</v>
      </c>
      <c r="BA912" s="96" t="s">
        <v>1367</v>
      </c>
    </row>
    <row r="913" spans="27:56" x14ac:dyDescent="0.25">
      <c r="BA913" s="96"/>
    </row>
    <row r="917" spans="27:56" x14ac:dyDescent="0.25">
      <c r="AA917" s="1" t="s">
        <v>330</v>
      </c>
      <c r="AC917" s="1" t="s">
        <v>331</v>
      </c>
      <c r="BA917" s="1" t="s">
        <v>310</v>
      </c>
      <c r="BC917" s="1" t="s">
        <v>590</v>
      </c>
    </row>
    <row r="918" spans="27:56" x14ac:dyDescent="0.25">
      <c r="AA918" s="1" t="s">
        <v>860</v>
      </c>
      <c r="AD918" s="1" t="s">
        <v>605</v>
      </c>
      <c r="BA918" s="1" t="s">
        <v>591</v>
      </c>
      <c r="BD918" s="1" t="s">
        <v>659</v>
      </c>
    </row>
    <row r="919" spans="27:56" x14ac:dyDescent="0.25">
      <c r="AA919" s="1" t="s">
        <v>485</v>
      </c>
      <c r="AD919" s="1" t="s">
        <v>621</v>
      </c>
      <c r="BA919" s="96" t="s">
        <v>491</v>
      </c>
      <c r="BD919" s="1" t="s">
        <v>989</v>
      </c>
    </row>
    <row r="920" spans="27:56" x14ac:dyDescent="0.25">
      <c r="AA920" s="1" t="s">
        <v>691</v>
      </c>
      <c r="AD920" s="1" t="s">
        <v>882</v>
      </c>
      <c r="BA920" s="1" t="s">
        <v>693</v>
      </c>
      <c r="BD920" s="1" t="s">
        <v>313</v>
      </c>
    </row>
    <row r="921" spans="27:56" x14ac:dyDescent="0.25">
      <c r="AA921" s="1" t="s">
        <v>692</v>
      </c>
      <c r="AD921" s="1" t="s">
        <v>882</v>
      </c>
      <c r="BA921" s="1" t="s">
        <v>694</v>
      </c>
      <c r="BD921" s="1" t="s">
        <v>313</v>
      </c>
    </row>
    <row r="922" spans="27:56" x14ac:dyDescent="0.25">
      <c r="AA922" s="1" t="s">
        <v>550</v>
      </c>
      <c r="AD922" s="1" t="s">
        <v>882</v>
      </c>
      <c r="BA922" s="1" t="s">
        <v>314</v>
      </c>
      <c r="BD922" s="1" t="s">
        <v>313</v>
      </c>
    </row>
    <row r="923" spans="27:56" x14ac:dyDescent="0.25">
      <c r="AA923" s="1" t="s">
        <v>551</v>
      </c>
      <c r="AD923" s="1" t="s">
        <v>882</v>
      </c>
      <c r="BA923" s="1" t="s">
        <v>315</v>
      </c>
      <c r="BD923" s="1" t="s">
        <v>313</v>
      </c>
    </row>
    <row r="924" spans="27:56" x14ac:dyDescent="0.25">
      <c r="AA924" s="1" t="s">
        <v>552</v>
      </c>
      <c r="AD924" s="1" t="s">
        <v>882</v>
      </c>
      <c r="BA924" s="1" t="s">
        <v>316</v>
      </c>
      <c r="BD924" s="1" t="s">
        <v>313</v>
      </c>
    </row>
    <row r="925" spans="27:56" x14ac:dyDescent="0.25">
      <c r="AA925" s="1" t="s">
        <v>553</v>
      </c>
      <c r="AD925" s="1" t="s">
        <v>882</v>
      </c>
      <c r="BA925" s="1" t="s">
        <v>317</v>
      </c>
      <c r="BD925" s="1" t="s">
        <v>313</v>
      </c>
    </row>
    <row r="926" spans="27:56" x14ac:dyDescent="0.25">
      <c r="AA926" s="1" t="s">
        <v>554</v>
      </c>
      <c r="AD926" s="1" t="s">
        <v>882</v>
      </c>
      <c r="BA926" s="1" t="s">
        <v>318</v>
      </c>
      <c r="BD926" s="1" t="s">
        <v>313</v>
      </c>
    </row>
    <row r="927" spans="27:56" x14ac:dyDescent="0.25">
      <c r="AA927" s="1" t="s">
        <v>555</v>
      </c>
      <c r="AD927" s="1" t="s">
        <v>605</v>
      </c>
      <c r="BA927" s="1" t="s">
        <v>319</v>
      </c>
      <c r="BD927" s="1" t="s">
        <v>659</v>
      </c>
    </row>
    <row r="928" spans="27:56" x14ac:dyDescent="0.25">
      <c r="AA928" s="1" t="s">
        <v>556</v>
      </c>
      <c r="AD928" s="1" t="s">
        <v>605</v>
      </c>
      <c r="BA928" s="1" t="s">
        <v>320</v>
      </c>
      <c r="BD928" s="1" t="s">
        <v>659</v>
      </c>
    </row>
    <row r="929" spans="27:56" x14ac:dyDescent="0.25">
      <c r="AA929" s="1" t="s">
        <v>557</v>
      </c>
      <c r="AD929" s="1" t="s">
        <v>605</v>
      </c>
      <c r="BA929" s="1" t="s">
        <v>321</v>
      </c>
      <c r="BD929" s="1" t="s">
        <v>659</v>
      </c>
    </row>
    <row r="930" spans="27:56" x14ac:dyDescent="0.25">
      <c r="AA930" s="1" t="s">
        <v>558</v>
      </c>
      <c r="AD930" s="1" t="s">
        <v>735</v>
      </c>
      <c r="BA930" s="1" t="s">
        <v>322</v>
      </c>
      <c r="BD930" s="1" t="s">
        <v>722</v>
      </c>
    </row>
    <row r="931" spans="27:56" x14ac:dyDescent="0.25">
      <c r="AA931" s="1" t="s">
        <v>559</v>
      </c>
      <c r="AD931" s="1" t="s">
        <v>735</v>
      </c>
      <c r="BA931" s="1" t="s">
        <v>323</v>
      </c>
      <c r="BD931" s="1" t="s">
        <v>722</v>
      </c>
    </row>
    <row r="932" spans="27:56" x14ac:dyDescent="0.25">
      <c r="AA932" s="1" t="s">
        <v>560</v>
      </c>
      <c r="AD932" s="1" t="s">
        <v>735</v>
      </c>
      <c r="BA932" s="1" t="s">
        <v>324</v>
      </c>
      <c r="BD932" s="1" t="s">
        <v>722</v>
      </c>
    </row>
    <row r="935" spans="27:56" x14ac:dyDescent="0.25">
      <c r="AA935" s="1" t="s">
        <v>730</v>
      </c>
      <c r="BA935" s="1" t="s">
        <v>325</v>
      </c>
    </row>
    <row r="936" spans="27:56" x14ac:dyDescent="0.25">
      <c r="AA936" s="1" t="s">
        <v>578</v>
      </c>
      <c r="AC936" s="1" t="s">
        <v>562</v>
      </c>
      <c r="BA936" s="1" t="s">
        <v>311</v>
      </c>
    </row>
    <row r="950" spans="27:61" x14ac:dyDescent="0.25">
      <c r="AA950" s="415" t="s">
        <v>1056</v>
      </c>
      <c r="AB950" s="415">
        <f>ROW()</f>
        <v>950</v>
      </c>
      <c r="AC950" s="415"/>
      <c r="AD950" s="415"/>
      <c r="AE950" s="415"/>
      <c r="AF950" s="415"/>
      <c r="AG950" s="415"/>
      <c r="AH950" s="415"/>
    </row>
    <row r="951" spans="27:61" x14ac:dyDescent="0.25">
      <c r="AA951" s="424" t="s">
        <v>1319</v>
      </c>
      <c r="AB951" s="422"/>
      <c r="AC951" s="58"/>
      <c r="AD951" s="423"/>
      <c r="AE951" s="58"/>
      <c r="AF951" s="58"/>
      <c r="AG951" s="58"/>
      <c r="AH951" s="58"/>
      <c r="AI951" s="55"/>
      <c r="AJ951" s="55"/>
      <c r="AK951" s="55"/>
      <c r="BA951" s="567" t="s">
        <v>1320</v>
      </c>
      <c r="BB951" s="445"/>
      <c r="BC951" s="445"/>
      <c r="BD951" s="567"/>
      <c r="BE951" s="445"/>
      <c r="BF951" s="445"/>
      <c r="BG951" s="445"/>
      <c r="BH951" s="445"/>
      <c r="BI951" s="445"/>
    </row>
    <row r="952" spans="27:61" x14ac:dyDescent="0.25">
      <c r="AA952" s="55" t="s">
        <v>1321</v>
      </c>
      <c r="AB952" s="62"/>
      <c r="AC952" s="55"/>
      <c r="AD952" s="94"/>
      <c r="AE952" s="55"/>
      <c r="AF952" s="55"/>
      <c r="AG952" s="55"/>
      <c r="AH952" s="55"/>
      <c r="AI952" s="55"/>
      <c r="AJ952" s="55"/>
      <c r="AK952" s="55"/>
      <c r="BA952" s="96" t="s">
        <v>1322</v>
      </c>
    </row>
    <row r="953" spans="27:61" x14ac:dyDescent="0.25">
      <c r="AA953" s="55"/>
      <c r="AB953" s="62"/>
      <c r="AC953" s="55"/>
      <c r="AD953" s="62"/>
      <c r="AE953" s="55"/>
      <c r="AF953" s="55"/>
      <c r="AG953" s="55"/>
      <c r="AH953" s="55"/>
      <c r="AI953" s="55"/>
      <c r="AJ953" s="55"/>
      <c r="AK953" s="55"/>
    </row>
    <row r="954" spans="27:61" x14ac:dyDescent="0.25">
      <c r="AA954" s="55"/>
      <c r="AB954" s="55" t="s">
        <v>494</v>
      </c>
      <c r="AC954" s="55"/>
      <c r="AD954" s="62"/>
      <c r="AE954" s="55"/>
      <c r="AF954" s="55"/>
      <c r="AG954" s="55"/>
      <c r="AH954" s="55"/>
      <c r="AI954" s="55"/>
      <c r="AJ954" s="55"/>
      <c r="AK954" s="55"/>
      <c r="BB954" s="1" t="s">
        <v>1182</v>
      </c>
    </row>
    <row r="955" spans="27:61" x14ac:dyDescent="0.25">
      <c r="AB955" s="1" t="s">
        <v>1058</v>
      </c>
      <c r="BB955" s="1" t="s">
        <v>154</v>
      </c>
    </row>
    <row r="956" spans="27:61" x14ac:dyDescent="0.25">
      <c r="AB956" s="1" t="s">
        <v>1323</v>
      </c>
    </row>
    <row r="957" spans="27:61" x14ac:dyDescent="0.25">
      <c r="AB957" s="1">
        <v>0</v>
      </c>
    </row>
    <row r="958" spans="27:61" x14ac:dyDescent="0.25">
      <c r="AB958" s="1" t="s">
        <v>764</v>
      </c>
      <c r="BB958" s="1" t="s">
        <v>156</v>
      </c>
    </row>
    <row r="959" spans="27:61" x14ac:dyDescent="0.25">
      <c r="AB959" s="1">
        <v>0</v>
      </c>
    </row>
    <row r="960" spans="27:61" x14ac:dyDescent="0.25">
      <c r="AB960" s="1" t="s">
        <v>406</v>
      </c>
      <c r="BB960" s="1" t="s">
        <v>160</v>
      </c>
    </row>
    <row r="961" spans="28:54" x14ac:dyDescent="0.25">
      <c r="AB961" s="1" t="s">
        <v>866</v>
      </c>
      <c r="BB961" s="1" t="s">
        <v>161</v>
      </c>
    </row>
    <row r="962" spans="28:54" x14ac:dyDescent="0.25">
      <c r="AB962" s="1" t="s">
        <v>867</v>
      </c>
      <c r="BB962" s="1" t="s">
        <v>167</v>
      </c>
    </row>
    <row r="963" spans="28:54" x14ac:dyDescent="0.25">
      <c r="AB963" s="1" t="s">
        <v>868</v>
      </c>
      <c r="BB963" s="1" t="s">
        <v>868</v>
      </c>
    </row>
    <row r="964" spans="28:54" x14ac:dyDescent="0.25">
      <c r="AB964" s="1" t="s">
        <v>869</v>
      </c>
      <c r="BB964" s="1" t="s">
        <v>162</v>
      </c>
    </row>
    <row r="965" spans="28:54" x14ac:dyDescent="0.25">
      <c r="AB965" s="1" t="s">
        <v>870</v>
      </c>
      <c r="BB965" s="1" t="s">
        <v>168</v>
      </c>
    </row>
    <row r="966" spans="28:54" x14ac:dyDescent="0.25">
      <c r="AB966" s="1" t="s">
        <v>871</v>
      </c>
      <c r="BB966" s="1" t="s">
        <v>163</v>
      </c>
    </row>
    <row r="967" spans="28:54" x14ac:dyDescent="0.25">
      <c r="AB967" s="1">
        <v>0</v>
      </c>
    </row>
    <row r="968" spans="28:54" x14ac:dyDescent="0.25">
      <c r="AB968" s="1" t="s">
        <v>477</v>
      </c>
      <c r="BB968" s="1" t="s">
        <v>486</v>
      </c>
    </row>
    <row r="969" spans="28:54" x14ac:dyDescent="0.25">
      <c r="AB969" s="1" t="s">
        <v>478</v>
      </c>
      <c r="BB969" s="1" t="s">
        <v>487</v>
      </c>
    </row>
    <row r="970" spans="28:54" x14ac:dyDescent="0.25">
      <c r="AB970" s="1" t="s">
        <v>972</v>
      </c>
      <c r="BB970" s="1" t="s">
        <v>164</v>
      </c>
    </row>
    <row r="971" spans="28:54" x14ac:dyDescent="0.25">
      <c r="AB971" s="1" t="s">
        <v>908</v>
      </c>
      <c r="BB971" s="1" t="s">
        <v>909</v>
      </c>
    </row>
    <row r="972" spans="28:54" x14ac:dyDescent="0.25">
      <c r="AB972" s="1">
        <v>0</v>
      </c>
    </row>
    <row r="973" spans="28:54" x14ac:dyDescent="0.25">
      <c r="AB973" s="1" t="s">
        <v>1152</v>
      </c>
      <c r="BB973" s="1" t="s">
        <v>165</v>
      </c>
    </row>
    <row r="974" spans="28:54" x14ac:dyDescent="0.25">
      <c r="AB974" s="1" t="s">
        <v>1153</v>
      </c>
      <c r="BB974" s="1" t="s">
        <v>166</v>
      </c>
    </row>
    <row r="975" spans="28:54" x14ac:dyDescent="0.25">
      <c r="AB975" s="1" t="s">
        <v>873</v>
      </c>
      <c r="BB975" s="1" t="s">
        <v>1077</v>
      </c>
    </row>
    <row r="976" spans="28:54" x14ac:dyDescent="0.25">
      <c r="AB976" s="1" t="s">
        <v>866</v>
      </c>
      <c r="BB976" s="1" t="s">
        <v>161</v>
      </c>
    </row>
    <row r="977" spans="28:54" x14ac:dyDescent="0.25">
      <c r="AB977" s="1" t="s">
        <v>867</v>
      </c>
      <c r="BB977" s="1" t="s">
        <v>167</v>
      </c>
    </row>
    <row r="978" spans="28:54" x14ac:dyDescent="0.25">
      <c r="AB978" s="1" t="s">
        <v>868</v>
      </c>
      <c r="BB978" s="1" t="s">
        <v>868</v>
      </c>
    </row>
    <row r="979" spans="28:54" x14ac:dyDescent="0.25">
      <c r="AB979" s="1" t="s">
        <v>869</v>
      </c>
      <c r="BB979" s="1" t="s">
        <v>162</v>
      </c>
    </row>
    <row r="980" spans="28:54" x14ac:dyDescent="0.25">
      <c r="AB980" s="1" t="s">
        <v>870</v>
      </c>
      <c r="BB980" s="1" t="s">
        <v>168</v>
      </c>
    </row>
    <row r="981" spans="28:54" x14ac:dyDescent="0.25">
      <c r="AB981" s="1" t="s">
        <v>871</v>
      </c>
      <c r="BB981" s="1" t="s">
        <v>163</v>
      </c>
    </row>
    <row r="982" spans="28:54" x14ac:dyDescent="0.25">
      <c r="AB982" s="1" t="s">
        <v>795</v>
      </c>
      <c r="BB982" s="1" t="s">
        <v>169</v>
      </c>
    </row>
    <row r="983" spans="28:54" x14ac:dyDescent="0.25">
      <c r="AB983" s="1" t="s">
        <v>236</v>
      </c>
      <c r="BB983" s="1" t="s">
        <v>170</v>
      </c>
    </row>
    <row r="984" spans="28:54" x14ac:dyDescent="0.25">
      <c r="AB984" s="1">
        <v>0</v>
      </c>
    </row>
    <row r="985" spans="28:54" x14ac:dyDescent="0.25">
      <c r="AB985" s="1" t="s">
        <v>926</v>
      </c>
      <c r="BB985" s="1" t="s">
        <v>171</v>
      </c>
    </row>
    <row r="986" spans="28:54" x14ac:dyDescent="0.25">
      <c r="AB986" s="1" t="s">
        <v>759</v>
      </c>
      <c r="BB986" s="1" t="s">
        <v>172</v>
      </c>
    </row>
    <row r="987" spans="28:54" x14ac:dyDescent="0.25">
      <c r="AB987" s="1" t="s">
        <v>739</v>
      </c>
      <c r="BB987" s="1" t="s">
        <v>175</v>
      </c>
    </row>
    <row r="988" spans="28:54" x14ac:dyDescent="0.25">
      <c r="AB988" s="1" t="s">
        <v>562</v>
      </c>
      <c r="BB988" s="1" t="s">
        <v>562</v>
      </c>
    </row>
    <row r="989" spans="28:54" x14ac:dyDescent="0.25">
      <c r="AB989" s="1">
        <v>0</v>
      </c>
    </row>
    <row r="990" spans="28:54" x14ac:dyDescent="0.25">
      <c r="AB990" s="1" t="s">
        <v>796</v>
      </c>
      <c r="BB990" s="1" t="s">
        <v>177</v>
      </c>
    </row>
    <row r="991" spans="28:54" x14ac:dyDescent="0.25">
      <c r="AB991" s="1" t="s">
        <v>634</v>
      </c>
      <c r="BB991" s="1" t="s">
        <v>178</v>
      </c>
    </row>
    <row r="992" spans="28:54" x14ac:dyDescent="0.25">
      <c r="AB992" s="1">
        <v>0</v>
      </c>
    </row>
    <row r="993" spans="28:54" x14ac:dyDescent="0.25">
      <c r="AB993" s="1" t="s">
        <v>798</v>
      </c>
      <c r="BB993" s="1" t="s">
        <v>180</v>
      </c>
    </row>
    <row r="994" spans="28:54" x14ac:dyDescent="0.25">
      <c r="AB994" s="1" t="s">
        <v>861</v>
      </c>
      <c r="BB994" s="1" t="s">
        <v>181</v>
      </c>
    </row>
    <row r="995" spans="28:54" x14ac:dyDescent="0.25">
      <c r="AB995" s="1" t="s">
        <v>799</v>
      </c>
      <c r="BB995" s="1" t="s">
        <v>182</v>
      </c>
    </row>
    <row r="996" spans="28:54" x14ac:dyDescent="0.25">
      <c r="AB996" s="1" t="s">
        <v>940</v>
      </c>
      <c r="BB996" s="1" t="s">
        <v>183</v>
      </c>
    </row>
    <row r="997" spans="28:54" x14ac:dyDescent="0.25">
      <c r="AB997" s="1">
        <v>0</v>
      </c>
    </row>
    <row r="998" spans="28:54" x14ac:dyDescent="0.25">
      <c r="AB998" s="1" t="s">
        <v>1154</v>
      </c>
      <c r="BB998" s="1" t="s">
        <v>185</v>
      </c>
    </row>
    <row r="999" spans="28:54" x14ac:dyDescent="0.25">
      <c r="AB999" s="1" t="s">
        <v>598</v>
      </c>
      <c r="BB999" s="1" t="s">
        <v>1071</v>
      </c>
    </row>
    <row r="1000" spans="28:54" x14ac:dyDescent="0.25">
      <c r="AB1000" s="1" t="s">
        <v>107</v>
      </c>
      <c r="BB1000" s="1" t="s">
        <v>186</v>
      </c>
    </row>
    <row r="1001" spans="28:54" x14ac:dyDescent="0.25">
      <c r="AB1001" s="1" t="s">
        <v>562</v>
      </c>
    </row>
    <row r="1002" spans="28:54" x14ac:dyDescent="0.25">
      <c r="AB1002" s="1" t="s">
        <v>562</v>
      </c>
    </row>
    <row r="1003" spans="28:54" x14ac:dyDescent="0.25">
      <c r="AB1003" s="1" t="s">
        <v>562</v>
      </c>
    </row>
    <row r="1004" spans="28:54" x14ac:dyDescent="0.25">
      <c r="AB1004" s="1" t="s">
        <v>806</v>
      </c>
      <c r="BB1004" s="1" t="s">
        <v>194</v>
      </c>
    </row>
    <row r="1005" spans="28:54" x14ac:dyDescent="0.25">
      <c r="AB1005" s="1" t="s">
        <v>878</v>
      </c>
      <c r="BB1005" s="1" t="s">
        <v>197</v>
      </c>
    </row>
    <row r="1006" spans="28:54" x14ac:dyDescent="0.25">
      <c r="AB1006" s="1" t="s">
        <v>562</v>
      </c>
    </row>
    <row r="1007" spans="28:54" x14ac:dyDescent="0.25">
      <c r="AB1007" s="1" t="s">
        <v>821</v>
      </c>
      <c r="BB1007" s="1" t="s">
        <v>262</v>
      </c>
    </row>
    <row r="1008" spans="28:54" x14ac:dyDescent="0.25">
      <c r="AB1008" s="1" t="s">
        <v>810</v>
      </c>
      <c r="BB1008" s="1" t="s">
        <v>264</v>
      </c>
    </row>
    <row r="1009" spans="28:54" x14ac:dyDescent="0.25">
      <c r="AB1009" s="1">
        <v>0</v>
      </c>
    </row>
    <row r="1010" spans="28:54" x14ac:dyDescent="0.25">
      <c r="AB1010" s="1" t="s">
        <v>941</v>
      </c>
      <c r="BB1010" s="1" t="s">
        <v>265</v>
      </c>
    </row>
    <row r="1011" spans="28:54" x14ac:dyDescent="0.25">
      <c r="AB1011" s="1" t="s">
        <v>943</v>
      </c>
      <c r="BB1011" s="1" t="s">
        <v>268</v>
      </c>
    </row>
    <row r="1012" spans="28:54" x14ac:dyDescent="0.25">
      <c r="AB1012" s="1" t="s">
        <v>944</v>
      </c>
      <c r="BB1012" s="1" t="s">
        <v>269</v>
      </c>
    </row>
    <row r="1013" spans="28:54" x14ac:dyDescent="0.25">
      <c r="AB1013" s="1" t="s">
        <v>945</v>
      </c>
      <c r="BB1013" s="1" t="s">
        <v>270</v>
      </c>
    </row>
    <row r="1014" spans="28:54" x14ac:dyDescent="0.25">
      <c r="AB1014" s="1" t="s">
        <v>1324</v>
      </c>
      <c r="BB1014" s="1" t="s">
        <v>1325</v>
      </c>
    </row>
    <row r="1015" spans="28:54" x14ac:dyDescent="0.25">
      <c r="AB1015" s="1" t="s">
        <v>1326</v>
      </c>
      <c r="BB1015" s="1" t="s">
        <v>1327</v>
      </c>
    </row>
    <row r="1016" spans="28:54" x14ac:dyDescent="0.25">
      <c r="AB1016" s="1" t="s">
        <v>947</v>
      </c>
      <c r="BB1016" s="1" t="s">
        <v>272</v>
      </c>
    </row>
    <row r="1017" spans="28:54" x14ac:dyDescent="0.25">
      <c r="AB1017" s="1" t="s">
        <v>1328</v>
      </c>
      <c r="BB1017" s="1" t="s">
        <v>1329</v>
      </c>
    </row>
    <row r="1018" spans="28:54" x14ac:dyDescent="0.25">
      <c r="AB1018" s="1" t="s">
        <v>1330</v>
      </c>
      <c r="BB1018" s="1" t="s">
        <v>1331</v>
      </c>
    </row>
    <row r="1019" spans="28:54" x14ac:dyDescent="0.25">
      <c r="AB1019" s="1" t="s">
        <v>948</v>
      </c>
      <c r="BB1019" s="1" t="s">
        <v>274</v>
      </c>
    </row>
    <row r="1020" spans="28:54" x14ac:dyDescent="0.25">
      <c r="AB1020" s="1" t="s">
        <v>459</v>
      </c>
      <c r="BB1020" s="1" t="s">
        <v>932</v>
      </c>
    </row>
    <row r="1021" spans="28:54" x14ac:dyDescent="0.25">
      <c r="AB1021" s="1" t="s">
        <v>946</v>
      </c>
      <c r="BB1021" s="1" t="s">
        <v>275</v>
      </c>
    </row>
    <row r="1022" spans="28:54" x14ac:dyDescent="0.25">
      <c r="AB1022" s="1" t="s">
        <v>949</v>
      </c>
      <c r="BB1022" s="1" t="s">
        <v>276</v>
      </c>
    </row>
    <row r="1024" spans="28:54" x14ac:dyDescent="0.25">
      <c r="AB1024" s="1" t="s">
        <v>951</v>
      </c>
      <c r="BB1024" s="1" t="s">
        <v>277</v>
      </c>
    </row>
    <row r="1025" spans="28:54" x14ac:dyDescent="0.25">
      <c r="AB1025" s="1" t="s">
        <v>953</v>
      </c>
      <c r="BB1025" s="1" t="s">
        <v>278</v>
      </c>
    </row>
    <row r="1026" spans="28:54" x14ac:dyDescent="0.25">
      <c r="AB1026" s="1">
        <v>0</v>
      </c>
    </row>
    <row r="1027" spans="28:54" x14ac:dyDescent="0.25">
      <c r="AB1027" s="1" t="s">
        <v>1253</v>
      </c>
      <c r="BB1027" s="1" t="s">
        <v>1251</v>
      </c>
    </row>
    <row r="1028" spans="28:54" x14ac:dyDescent="0.25">
      <c r="AB1028" s="1">
        <v>0</v>
      </c>
    </row>
    <row r="1029" spans="28:54" x14ac:dyDescent="0.25">
      <c r="AB1029" s="1" t="s">
        <v>811</v>
      </c>
      <c r="BB1029" s="1" t="s">
        <v>279</v>
      </c>
    </row>
    <row r="1030" spans="28:54" x14ac:dyDescent="0.25">
      <c r="AB1030" s="1" t="s">
        <v>880</v>
      </c>
      <c r="BB1030" s="1" t="s">
        <v>280</v>
      </c>
    </row>
    <row r="1031" spans="28:54" x14ac:dyDescent="0.25">
      <c r="AB1031" s="1" t="s">
        <v>638</v>
      </c>
      <c r="BB1031" s="1" t="s">
        <v>639</v>
      </c>
    </row>
    <row r="1032" spans="28:54" x14ac:dyDescent="0.25">
      <c r="AB1032" s="1" t="s">
        <v>824</v>
      </c>
      <c r="BB1032" s="1" t="s">
        <v>282</v>
      </c>
    </row>
    <row r="1033" spans="28:54" x14ac:dyDescent="0.25">
      <c r="AB1033" s="1" t="s">
        <v>865</v>
      </c>
      <c r="BB1033" s="1" t="s">
        <v>283</v>
      </c>
    </row>
    <row r="1034" spans="28:54" x14ac:dyDescent="0.25">
      <c r="AB1034" s="1" t="s">
        <v>825</v>
      </c>
      <c r="BB1034" s="1" t="s">
        <v>284</v>
      </c>
    </row>
    <row r="1035" spans="28:54" x14ac:dyDescent="0.25">
      <c r="AB1035" s="1" t="s">
        <v>826</v>
      </c>
      <c r="BB1035" s="1" t="s">
        <v>286</v>
      </c>
    </row>
    <row r="1036" spans="28:54" x14ac:dyDescent="0.25">
      <c r="AB1036" s="1" t="s">
        <v>827</v>
      </c>
      <c r="BB1036" s="1" t="s">
        <v>287</v>
      </c>
    </row>
    <row r="1037" spans="28:54" x14ac:dyDescent="0.25">
      <c r="AB1037" s="1" t="s">
        <v>385</v>
      </c>
      <c r="BB1037" s="1" t="s">
        <v>288</v>
      </c>
    </row>
    <row r="1038" spans="28:54" x14ac:dyDescent="0.25">
      <c r="AB1038" s="1" t="s">
        <v>386</v>
      </c>
      <c r="BB1038" s="1" t="s">
        <v>289</v>
      </c>
    </row>
    <row r="1039" spans="28:54" x14ac:dyDescent="0.25">
      <c r="AB1039" s="1">
        <v>0</v>
      </c>
    </row>
    <row r="1040" spans="28:54" x14ac:dyDescent="0.25">
      <c r="AB1040" s="1" t="s">
        <v>851</v>
      </c>
      <c r="BB1040" s="1" t="s">
        <v>290</v>
      </c>
    </row>
    <row r="1041" spans="28:54" x14ac:dyDescent="0.25">
      <c r="AB1041" s="1" t="s">
        <v>970</v>
      </c>
      <c r="BB1041" s="1" t="s">
        <v>291</v>
      </c>
    </row>
    <row r="1042" spans="28:54" x14ac:dyDescent="0.25">
      <c r="AB1042" s="1" t="s">
        <v>483</v>
      </c>
      <c r="BB1042" s="1" t="s">
        <v>488</v>
      </c>
    </row>
    <row r="1043" spans="28:54" x14ac:dyDescent="0.25">
      <c r="AB1043" s="1" t="s">
        <v>1061</v>
      </c>
      <c r="BB1043" s="1" t="s">
        <v>1196</v>
      </c>
    </row>
    <row r="1044" spans="28:54" x14ac:dyDescent="0.25">
      <c r="AB1044" s="1" t="s">
        <v>853</v>
      </c>
      <c r="BB1044" s="1" t="s">
        <v>292</v>
      </c>
    </row>
    <row r="1045" spans="28:54" x14ac:dyDescent="0.25">
      <c r="AB1045" s="1" t="s">
        <v>1064</v>
      </c>
      <c r="BB1045" s="1" t="s">
        <v>293</v>
      </c>
    </row>
    <row r="1046" spans="28:54" x14ac:dyDescent="0.25">
      <c r="AB1046" s="1" t="s">
        <v>1062</v>
      </c>
      <c r="BB1046" s="1" t="s">
        <v>295</v>
      </c>
    </row>
    <row r="1047" spans="28:54" x14ac:dyDescent="0.25">
      <c r="AB1047" s="1" t="s">
        <v>755</v>
      </c>
      <c r="BB1047" s="1" t="s">
        <v>845</v>
      </c>
    </row>
    <row r="1048" spans="28:54" x14ac:dyDescent="0.25">
      <c r="AB1048" s="1">
        <v>0</v>
      </c>
    </row>
    <row r="1049" spans="28:54" x14ac:dyDescent="0.25">
      <c r="AB1049" s="1" t="s">
        <v>1063</v>
      </c>
      <c r="BB1049" s="1" t="s">
        <v>1197</v>
      </c>
    </row>
    <row r="1050" spans="28:54" x14ac:dyDescent="0.25">
      <c r="AB1050" s="1" t="s">
        <v>72</v>
      </c>
      <c r="BB1050" s="1" t="s">
        <v>933</v>
      </c>
    </row>
    <row r="1051" spans="28:54" x14ac:dyDescent="0.25">
      <c r="AB1051" s="1" t="s">
        <v>562</v>
      </c>
    </row>
    <row r="1052" spans="28:54" x14ac:dyDescent="0.25">
      <c r="AB1052" s="1" t="s">
        <v>562</v>
      </c>
    </row>
    <row r="1053" spans="28:54" x14ac:dyDescent="0.25">
      <c r="AB1053" s="1" t="s">
        <v>562</v>
      </c>
    </row>
    <row r="1054" spans="28:54" x14ac:dyDescent="0.25">
      <c r="AB1054" s="1" t="s">
        <v>562</v>
      </c>
    </row>
    <row r="1055" spans="28:54" x14ac:dyDescent="0.25">
      <c r="AB1055" s="1" t="s">
        <v>562</v>
      </c>
    </row>
    <row r="1056" spans="28:54" x14ac:dyDescent="0.25">
      <c r="AB1056" s="1">
        <v>0</v>
      </c>
    </row>
    <row r="1057" spans="28:54" x14ac:dyDescent="0.25">
      <c r="AB1057" s="1" t="s">
        <v>1067</v>
      </c>
      <c r="BB1057" s="1" t="s">
        <v>300</v>
      </c>
    </row>
    <row r="1058" spans="28:54" x14ac:dyDescent="0.25">
      <c r="AB1058" s="1" t="s">
        <v>857</v>
      </c>
      <c r="BB1058" s="1" t="s">
        <v>301</v>
      </c>
    </row>
  </sheetData>
  <sheetProtection algorithmName="SHA-512" hashValue="gSGhcESCnSzsl5ZcGtp9GKJxU4A9ZLk/MsM/1ijv2OCWrotb5fIxgRqHj7ur1d+zpQnrK5sfJkNb9fy79P8mjg==" saltValue="PDLNhczNlpn4iCmkh8KukA==" spinCount="100000" sheet="1" objects="1" scenarios="1"/>
  <mergeCells count="5">
    <mergeCell ref="AA526:AI526"/>
    <mergeCell ref="BA526:BI526"/>
    <mergeCell ref="AA517:AC517"/>
    <mergeCell ref="BA517:BI517"/>
    <mergeCell ref="AA581:AF581"/>
  </mergeCells>
  <phoneticPr fontId="0" type="noConversion"/>
  <conditionalFormatting sqref="AA291:AC291">
    <cfRule type="expression" dxfId="4" priority="3" stopIfTrue="1">
      <formula>NOT(N_AnstellungBefristetAuswahl=1)</formula>
    </cfRule>
  </conditionalFormatting>
  <conditionalFormatting sqref="AA306:AC308">
    <cfRule type="expression" dxfId="3" priority="2" stopIfTrue="1">
      <formula>NOT(N_LohnartAuswahl=2)</formula>
    </cfRule>
  </conditionalFormatting>
  <conditionalFormatting sqref="AA311:AC311">
    <cfRule type="expression" dxfId="2" priority="1" stopIfTrue="1">
      <formula>NOT(VLOOKUP($C310,A_JaNein_Auswahl,2,0)=1)</formula>
    </cfRule>
  </conditionalFormatting>
  <conditionalFormatting sqref="AA356:AC360">
    <cfRule type="expression" dxfId="1" priority="4" stopIfTrue="1">
      <formula>NOT(VLOOKUP($C$99,A_JaNein_Auswahl,2,0)=1)</formula>
    </cfRule>
  </conditionalFormatting>
  <conditionalFormatting sqref="AD307">
    <cfRule type="expression" dxfId="0" priority="5" stopIfTrue="1">
      <formula>NOT(N_LohnartAuswahl=2)</formula>
    </cfRule>
  </conditionalFormatting>
  <dataValidations disablePrompts="1" count="6">
    <dataValidation type="decimal" allowBlank="1" showInputMessage="1" showErrorMessage="1" sqref="AC359 AC351" xr:uid="{00000000-0002-0000-1300-000000000000}">
      <formula1>0</formula1>
      <formula2>1</formula2>
    </dataValidation>
    <dataValidation type="whole" allowBlank="1" showInputMessage="1" showErrorMessage="1" sqref="AC360 AC349 AC356 AC353" xr:uid="{00000000-0002-0000-1300-000001000000}">
      <formula1>0</formula1>
      <formula2>1000</formula2>
    </dataValidation>
    <dataValidation type="whole" allowBlank="1" showInputMessage="1" showErrorMessage="1" sqref="AC258" xr:uid="{00000000-0002-0000-1300-000002000000}">
      <formula1>2012</formula1>
      <formula2>2999</formula2>
    </dataValidation>
    <dataValidation type="whole" allowBlank="1" showInputMessage="1" showErrorMessage="1" sqref="AC352" xr:uid="{00000000-0002-0000-1300-000003000000}">
      <formula1>720</formula1>
      <formula2>10000</formula2>
    </dataValidation>
    <dataValidation type="decimal" allowBlank="1" showInputMessage="1" showErrorMessage="1" sqref="AC350 AC358" xr:uid="{00000000-0002-0000-1300-000004000000}">
      <formula1>0.8</formula1>
      <formula2>1</formula2>
    </dataValidation>
    <dataValidation type="list" allowBlank="1" showInputMessage="1" showErrorMessage="1" sqref="AC357" xr:uid="{00000000-0002-0000-1300-000005000000}">
      <formula1>L_WartefristKTGJe</formula1>
    </dataValidation>
  </dataValidations>
  <hyperlinks>
    <hyperlink ref="AA701" r:id="rId1" xr:uid="{00000000-0004-0000-1300-000000000000}"/>
    <hyperlink ref="BA701" r:id="rId2" xr:uid="{00000000-0004-0000-1300-000001000000}"/>
  </hyperlinks>
  <pageMargins left="0.98425196850393704" right="0.78740157480314965" top="0.98425196850393704" bottom="0.98425196850393704" header="0.51181102362204722" footer="0.51181102362204722"/>
  <pageSetup paperSize="9" orientation="portrait" r:id="rId3"/>
  <headerFooter alignWithMargins="0">
    <oddFooter>&amp;R&amp;8&amp;P/&amp;N</oddFooter>
  </headerFooter>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tabColor indexed="55"/>
    <pageSetUpPr fitToPage="1"/>
  </sheetPr>
  <dimension ref="A1:F95"/>
  <sheetViews>
    <sheetView topLeftCell="A47" workbookViewId="0">
      <selection activeCell="B94" sqref="B94"/>
    </sheetView>
  </sheetViews>
  <sheetFormatPr baseColWidth="10" defaultColWidth="11.33203125" defaultRowHeight="13.2" x14ac:dyDescent="0.25"/>
  <cols>
    <col min="1" max="1" width="10.6640625" style="55" customWidth="1"/>
    <col min="2" max="2" width="10.6640625" style="609" customWidth="1"/>
    <col min="3" max="3" width="18.6640625" style="55" customWidth="1"/>
    <col min="4" max="4" width="80.6640625" style="55" customWidth="1"/>
    <col min="5" max="5" width="15.6640625" style="55" customWidth="1"/>
    <col min="6" max="6" width="19.5546875" style="55" customWidth="1"/>
    <col min="7" max="16384" width="11.33203125" style="55"/>
  </cols>
  <sheetData>
    <row r="1" spans="1:6" ht="17.399999999999999" x14ac:dyDescent="0.25">
      <c r="A1" s="417" t="s">
        <v>407</v>
      </c>
    </row>
    <row r="3" spans="1:6" x14ac:dyDescent="0.25">
      <c r="A3" s="610" t="s">
        <v>408</v>
      </c>
      <c r="B3" s="611"/>
      <c r="C3" s="610"/>
      <c r="D3" s="610"/>
      <c r="E3" s="612" t="s">
        <v>409</v>
      </c>
      <c r="F3" s="610" t="str">
        <f>N_Version</f>
        <v>2023 - V2.10</v>
      </c>
    </row>
    <row r="6" spans="1:6" s="62" customFormat="1" ht="66" x14ac:dyDescent="0.25">
      <c r="A6" s="613" t="s">
        <v>410</v>
      </c>
      <c r="B6" s="614" t="s">
        <v>411</v>
      </c>
      <c r="C6" s="613" t="s">
        <v>412</v>
      </c>
      <c r="D6" s="613" t="s">
        <v>413</v>
      </c>
      <c r="E6" s="613" t="s">
        <v>414</v>
      </c>
      <c r="F6" s="613" t="s">
        <v>415</v>
      </c>
    </row>
    <row r="7" spans="1:6" s="66" customFormat="1" x14ac:dyDescent="0.25">
      <c r="A7" s="623" t="s">
        <v>416</v>
      </c>
      <c r="B7" s="624"/>
      <c r="C7" s="625"/>
      <c r="D7" s="625" t="s">
        <v>418</v>
      </c>
      <c r="E7" s="625"/>
      <c r="F7" s="626"/>
    </row>
    <row r="8" spans="1:6" ht="26.4" x14ac:dyDescent="0.25">
      <c r="A8" s="616"/>
      <c r="B8" s="620">
        <v>41454</v>
      </c>
      <c r="C8" s="615" t="s">
        <v>36</v>
      </c>
      <c r="D8" s="615" t="s">
        <v>422</v>
      </c>
      <c r="E8" s="188" t="s">
        <v>417</v>
      </c>
      <c r="F8" s="188"/>
    </row>
    <row r="9" spans="1:6" ht="26.4" x14ac:dyDescent="0.25">
      <c r="A9" s="616"/>
      <c r="B9" s="621"/>
      <c r="C9" s="615" t="s">
        <v>419</v>
      </c>
      <c r="D9" s="615" t="s">
        <v>424</v>
      </c>
      <c r="E9" s="616"/>
      <c r="F9" s="616"/>
    </row>
    <row r="10" spans="1:6" x14ac:dyDescent="0.25">
      <c r="A10" s="616"/>
      <c r="B10" s="621"/>
      <c r="C10" s="615" t="s">
        <v>764</v>
      </c>
      <c r="D10" s="615" t="s">
        <v>420</v>
      </c>
      <c r="E10" s="616"/>
      <c r="F10" s="616"/>
    </row>
    <row r="11" spans="1:6" x14ac:dyDescent="0.25">
      <c r="A11" s="616"/>
      <c r="B11" s="621"/>
      <c r="C11" s="615" t="s">
        <v>36</v>
      </c>
      <c r="D11" s="615" t="s">
        <v>421</v>
      </c>
      <c r="E11" s="616"/>
      <c r="F11" s="616"/>
    </row>
    <row r="12" spans="1:6" ht="26.4" x14ac:dyDescent="0.25">
      <c r="A12" s="616"/>
      <c r="B12" s="621"/>
      <c r="C12" s="615" t="s">
        <v>419</v>
      </c>
      <c r="D12" s="615" t="s">
        <v>423</v>
      </c>
      <c r="E12" s="616"/>
      <c r="F12" s="616"/>
    </row>
    <row r="13" spans="1:6" x14ac:dyDescent="0.25">
      <c r="A13" s="616"/>
      <c r="B13" s="621"/>
      <c r="C13" s="615" t="s">
        <v>764</v>
      </c>
      <c r="D13" s="615" t="s">
        <v>425</v>
      </c>
      <c r="E13" s="616"/>
      <c r="F13" s="616"/>
    </row>
    <row r="14" spans="1:6" x14ac:dyDescent="0.25">
      <c r="A14" s="616"/>
      <c r="B14" s="622"/>
      <c r="C14" s="615" t="s">
        <v>36</v>
      </c>
      <c r="D14" s="615" t="s">
        <v>426</v>
      </c>
      <c r="E14" s="617"/>
      <c r="F14" s="617" t="s">
        <v>688</v>
      </c>
    </row>
    <row r="15" spans="1:6" s="66" customFormat="1" x14ac:dyDescent="0.25">
      <c r="A15" s="623" t="s">
        <v>906</v>
      </c>
      <c r="B15" s="624"/>
      <c r="C15" s="625"/>
      <c r="D15" s="625" t="s">
        <v>907</v>
      </c>
      <c r="E15" s="625"/>
      <c r="F15" s="626"/>
    </row>
    <row r="16" spans="1:6" x14ac:dyDescent="0.25">
      <c r="A16" s="616"/>
      <c r="B16" s="620">
        <v>41580</v>
      </c>
      <c r="C16" s="615" t="s">
        <v>419</v>
      </c>
      <c r="D16" s="615" t="s">
        <v>640</v>
      </c>
      <c r="E16" s="188" t="s">
        <v>417</v>
      </c>
      <c r="F16" s="188"/>
    </row>
    <row r="17" spans="1:6" x14ac:dyDescent="0.25">
      <c r="A17" s="616"/>
      <c r="B17" s="621"/>
      <c r="C17" s="615" t="s">
        <v>36</v>
      </c>
      <c r="D17" s="615" t="s">
        <v>910</v>
      </c>
      <c r="E17" s="616"/>
      <c r="F17" s="616"/>
    </row>
    <row r="18" spans="1:6" x14ac:dyDescent="0.25">
      <c r="A18" s="616"/>
      <c r="B18" s="621"/>
      <c r="C18" s="615" t="s">
        <v>911</v>
      </c>
      <c r="D18" s="615" t="s">
        <v>912</v>
      </c>
      <c r="E18" s="616"/>
      <c r="F18" s="616"/>
    </row>
    <row r="19" spans="1:6" x14ac:dyDescent="0.25">
      <c r="A19" s="616"/>
      <c r="B19" s="621"/>
      <c r="C19" s="615" t="s">
        <v>419</v>
      </c>
      <c r="D19" s="615" t="s">
        <v>913</v>
      </c>
      <c r="E19" s="616"/>
      <c r="F19" s="616"/>
    </row>
    <row r="20" spans="1:6" ht="26.4" x14ac:dyDescent="0.25">
      <c r="A20" s="616"/>
      <c r="B20" s="620">
        <v>41593</v>
      </c>
      <c r="C20" s="615" t="s">
        <v>36</v>
      </c>
      <c r="D20" s="615" t="s">
        <v>641</v>
      </c>
      <c r="E20" s="616"/>
      <c r="F20" s="616"/>
    </row>
    <row r="21" spans="1:6" ht="26.4" x14ac:dyDescent="0.25">
      <c r="A21" s="617"/>
      <c r="B21" s="622"/>
      <c r="C21" s="615" t="s">
        <v>419</v>
      </c>
      <c r="D21" s="615" t="s">
        <v>642</v>
      </c>
      <c r="E21" s="617"/>
      <c r="F21" s="617"/>
    </row>
    <row r="22" spans="1:6" ht="26.4" x14ac:dyDescent="0.25">
      <c r="A22" s="623" t="s">
        <v>1219</v>
      </c>
      <c r="B22" s="620">
        <v>41974</v>
      </c>
      <c r="C22" s="615" t="s">
        <v>1220</v>
      </c>
      <c r="D22" s="615" t="s">
        <v>1222</v>
      </c>
      <c r="E22" s="188" t="s">
        <v>417</v>
      </c>
      <c r="F22" s="188"/>
    </row>
    <row r="23" spans="1:6" x14ac:dyDescent="0.25">
      <c r="A23" s="616"/>
      <c r="B23" s="621"/>
      <c r="C23" s="615" t="s">
        <v>419</v>
      </c>
      <c r="D23" s="615" t="s">
        <v>1221</v>
      </c>
      <c r="E23" s="616"/>
      <c r="F23" s="616"/>
    </row>
    <row r="24" spans="1:6" x14ac:dyDescent="0.25">
      <c r="A24" s="617"/>
      <c r="B24" s="622"/>
      <c r="C24" s="615" t="s">
        <v>36</v>
      </c>
      <c r="D24" s="615" t="s">
        <v>1225</v>
      </c>
      <c r="E24" s="617"/>
      <c r="F24" s="617" t="s">
        <v>688</v>
      </c>
    </row>
    <row r="25" spans="1:6" ht="26.4" x14ac:dyDescent="0.25">
      <c r="A25" s="628" t="s">
        <v>1226</v>
      </c>
      <c r="B25" s="627">
        <v>42039</v>
      </c>
      <c r="C25" s="615" t="s">
        <v>419</v>
      </c>
      <c r="D25" s="615" t="s">
        <v>1227</v>
      </c>
      <c r="E25" s="615" t="s">
        <v>417</v>
      </c>
      <c r="F25" s="615"/>
    </row>
    <row r="26" spans="1:6" x14ac:dyDescent="0.25">
      <c r="A26" s="623" t="s">
        <v>1228</v>
      </c>
      <c r="B26" s="620">
        <v>42362</v>
      </c>
      <c r="C26" s="615" t="s">
        <v>677</v>
      </c>
      <c r="D26" s="615" t="s">
        <v>1229</v>
      </c>
      <c r="E26" s="188" t="s">
        <v>417</v>
      </c>
      <c r="F26" s="188"/>
    </row>
    <row r="27" spans="1:6" x14ac:dyDescent="0.25">
      <c r="A27" s="616"/>
      <c r="B27" s="621"/>
      <c r="C27" s="615" t="s">
        <v>419</v>
      </c>
      <c r="D27" s="615" t="s">
        <v>1230</v>
      </c>
      <c r="E27" s="616"/>
      <c r="F27" s="616"/>
    </row>
    <row r="28" spans="1:6" ht="52.8" x14ac:dyDescent="0.25">
      <c r="A28" s="616"/>
      <c r="B28" s="621"/>
      <c r="C28" s="615" t="s">
        <v>419</v>
      </c>
      <c r="D28" s="615" t="s">
        <v>1231</v>
      </c>
      <c r="E28" s="616"/>
      <c r="F28" s="616"/>
    </row>
    <row r="29" spans="1:6" x14ac:dyDescent="0.25">
      <c r="A29" s="239"/>
      <c r="B29" s="640"/>
      <c r="C29" s="639" t="s">
        <v>36</v>
      </c>
      <c r="D29" s="639" t="s">
        <v>1242</v>
      </c>
      <c r="E29" s="239"/>
      <c r="F29" s="239"/>
    </row>
    <row r="30" spans="1:6" x14ac:dyDescent="0.25">
      <c r="A30" s="239"/>
      <c r="B30" s="640"/>
      <c r="C30" s="639" t="s">
        <v>36</v>
      </c>
      <c r="D30" s="639" t="s">
        <v>1244</v>
      </c>
      <c r="E30" s="239"/>
      <c r="F30" s="239"/>
    </row>
    <row r="31" spans="1:6" ht="26.4" x14ac:dyDescent="0.25">
      <c r="A31" s="239"/>
      <c r="B31" s="640"/>
      <c r="C31" s="639" t="s">
        <v>1245</v>
      </c>
      <c r="D31" s="615" t="s">
        <v>1255</v>
      </c>
      <c r="E31" s="239"/>
      <c r="F31" s="239"/>
    </row>
    <row r="32" spans="1:6" x14ac:dyDescent="0.25">
      <c r="A32" s="149"/>
      <c r="B32" s="641"/>
      <c r="C32" s="639" t="s">
        <v>36</v>
      </c>
      <c r="D32" s="639" t="s">
        <v>1256</v>
      </c>
      <c r="E32" s="149"/>
      <c r="F32" s="642" t="s">
        <v>1254</v>
      </c>
    </row>
    <row r="33" spans="1:6" ht="26.4" x14ac:dyDescent="0.25">
      <c r="A33" s="623" t="s">
        <v>1258</v>
      </c>
      <c r="B33" s="620">
        <v>42706</v>
      </c>
      <c r="C33" s="615" t="s">
        <v>36</v>
      </c>
      <c r="D33" s="615" t="s">
        <v>1259</v>
      </c>
      <c r="E33" s="188" t="s">
        <v>417</v>
      </c>
      <c r="F33" s="188"/>
    </row>
    <row r="34" spans="1:6" x14ac:dyDescent="0.25">
      <c r="A34" s="616"/>
      <c r="B34" s="621"/>
      <c r="C34" s="615" t="s">
        <v>764</v>
      </c>
      <c r="D34" s="615" t="s">
        <v>1260</v>
      </c>
      <c r="E34" s="616"/>
      <c r="F34" s="616"/>
    </row>
    <row r="35" spans="1:6" x14ac:dyDescent="0.25">
      <c r="A35" s="616"/>
      <c r="B35" s="621"/>
      <c r="C35" s="615" t="s">
        <v>1220</v>
      </c>
      <c r="D35" s="615" t="s">
        <v>1261</v>
      </c>
      <c r="E35" s="616"/>
      <c r="F35" s="616"/>
    </row>
    <row r="36" spans="1:6" ht="52.8" x14ac:dyDescent="0.25">
      <c r="A36" s="239"/>
      <c r="B36" s="640"/>
      <c r="C36" s="639" t="s">
        <v>419</v>
      </c>
      <c r="D36" s="615" t="s">
        <v>1268</v>
      </c>
      <c r="E36" s="239"/>
      <c r="F36" s="239"/>
    </row>
    <row r="37" spans="1:6" x14ac:dyDescent="0.25">
      <c r="A37" s="239"/>
      <c r="B37" s="640"/>
      <c r="C37" s="639" t="s">
        <v>764</v>
      </c>
      <c r="D37" s="639" t="s">
        <v>1265</v>
      </c>
      <c r="E37" s="239"/>
      <c r="F37" s="239"/>
    </row>
    <row r="38" spans="1:6" x14ac:dyDescent="0.25">
      <c r="A38" s="239"/>
      <c r="B38" s="640"/>
      <c r="C38" s="649" t="s">
        <v>419</v>
      </c>
      <c r="D38" s="649" t="s">
        <v>1266</v>
      </c>
      <c r="E38" s="239"/>
      <c r="F38" s="239"/>
    </row>
    <row r="39" spans="1:6" x14ac:dyDescent="0.25">
      <c r="A39" s="239"/>
      <c r="B39" s="640">
        <v>42753</v>
      </c>
      <c r="C39" s="649" t="s">
        <v>764</v>
      </c>
      <c r="D39" s="649" t="s">
        <v>1267</v>
      </c>
      <c r="E39" s="239"/>
      <c r="F39" s="239"/>
    </row>
    <row r="40" spans="1:6" x14ac:dyDescent="0.25">
      <c r="A40" s="239"/>
      <c r="B40" s="640"/>
      <c r="C40" s="649" t="s">
        <v>764</v>
      </c>
      <c r="D40" s="649" t="s">
        <v>1269</v>
      </c>
      <c r="E40" s="239"/>
      <c r="F40" s="239"/>
    </row>
    <row r="41" spans="1:6" ht="26.4" x14ac:dyDescent="0.25">
      <c r="A41" s="239"/>
      <c r="B41" s="640"/>
      <c r="C41" s="656" t="s">
        <v>419</v>
      </c>
      <c r="D41" s="188" t="s">
        <v>1272</v>
      </c>
      <c r="E41" s="239"/>
      <c r="F41" s="239"/>
    </row>
    <row r="42" spans="1:6" x14ac:dyDescent="0.25">
      <c r="A42" s="239"/>
      <c r="B42" s="640">
        <v>42755</v>
      </c>
      <c r="C42" s="239"/>
      <c r="D42" s="239" t="s">
        <v>1274</v>
      </c>
      <c r="E42" s="239"/>
      <c r="F42" s="239"/>
    </row>
    <row r="43" spans="1:6" ht="26.4" x14ac:dyDescent="0.25">
      <c r="A43" s="239"/>
      <c r="B43" s="640"/>
      <c r="C43" s="239"/>
      <c r="D43" s="616" t="s">
        <v>1276</v>
      </c>
      <c r="E43" s="239"/>
      <c r="F43" s="239"/>
    </row>
    <row r="44" spans="1:6" ht="39.6" x14ac:dyDescent="0.25">
      <c r="A44" s="239"/>
      <c r="B44" s="640"/>
      <c r="C44" s="239"/>
      <c r="D44" s="616" t="s">
        <v>1277</v>
      </c>
      <c r="E44" s="239"/>
      <c r="F44" s="657"/>
    </row>
    <row r="45" spans="1:6" ht="26.4" x14ac:dyDescent="0.25">
      <c r="A45" s="149"/>
      <c r="B45" s="641"/>
      <c r="C45" s="149" t="s">
        <v>764</v>
      </c>
      <c r="D45" s="617" t="s">
        <v>1279</v>
      </c>
      <c r="E45" s="149"/>
      <c r="F45" s="642" t="s">
        <v>1280</v>
      </c>
    </row>
    <row r="46" spans="1:6" ht="72" x14ac:dyDescent="0.25">
      <c r="A46" s="623" t="s">
        <v>1283</v>
      </c>
      <c r="B46" s="662">
        <v>43085</v>
      </c>
      <c r="C46" s="649" t="s">
        <v>764</v>
      </c>
      <c r="D46" s="659" t="s">
        <v>1289</v>
      </c>
      <c r="E46" s="1005" t="s">
        <v>1287</v>
      </c>
      <c r="F46" s="1002"/>
    </row>
    <row r="47" spans="1:6" ht="14.4" x14ac:dyDescent="0.25">
      <c r="A47" s="239"/>
      <c r="B47" s="663"/>
      <c r="C47" s="660" t="s">
        <v>1245</v>
      </c>
      <c r="D47" s="661" t="s">
        <v>1286</v>
      </c>
      <c r="E47" s="1006"/>
      <c r="F47" s="1003"/>
    </row>
    <row r="48" spans="1:6" ht="14.4" x14ac:dyDescent="0.25">
      <c r="A48" s="239"/>
      <c r="B48" s="663"/>
      <c r="C48" s="660" t="s">
        <v>1220</v>
      </c>
      <c r="D48" s="661" t="s">
        <v>1288</v>
      </c>
      <c r="E48" s="1006"/>
      <c r="F48" s="1003"/>
    </row>
    <row r="49" spans="1:6" x14ac:dyDescent="0.25">
      <c r="A49" s="149"/>
      <c r="C49" s="660" t="s">
        <v>1245</v>
      </c>
      <c r="D49" s="660" t="s">
        <v>1285</v>
      </c>
      <c r="E49" s="1007"/>
      <c r="F49" s="1004"/>
    </row>
    <row r="50" spans="1:6" ht="14.4" x14ac:dyDescent="0.3">
      <c r="A50" s="623" t="s">
        <v>1300</v>
      </c>
      <c r="B50" s="662">
        <v>43485</v>
      </c>
      <c r="C50" s="660" t="s">
        <v>1301</v>
      </c>
      <c r="D50" s="688" t="s">
        <v>1302</v>
      </c>
      <c r="E50" s="656"/>
      <c r="F50" s="656"/>
    </row>
    <row r="51" spans="1:6" ht="26.4" customHeight="1" x14ac:dyDescent="0.25">
      <c r="A51" s="222"/>
      <c r="B51" s="640"/>
      <c r="C51" s="660" t="s">
        <v>419</v>
      </c>
      <c r="D51" s="689" t="s">
        <v>1303</v>
      </c>
      <c r="E51" s="239"/>
      <c r="F51" s="239"/>
    </row>
    <row r="52" spans="1:6" x14ac:dyDescent="0.25">
      <c r="A52" s="222"/>
      <c r="B52" s="641"/>
      <c r="C52" s="698" t="s">
        <v>764</v>
      </c>
      <c r="D52" s="698" t="s">
        <v>1304</v>
      </c>
      <c r="E52" s="149"/>
      <c r="F52" s="149"/>
    </row>
    <row r="53" spans="1:6" ht="14.4" x14ac:dyDescent="0.3">
      <c r="A53" s="699" t="s">
        <v>1308</v>
      </c>
      <c r="B53" s="700">
        <v>43489</v>
      </c>
      <c r="C53" s="660" t="s">
        <v>1301</v>
      </c>
      <c r="D53" s="688" t="s">
        <v>1310</v>
      </c>
      <c r="E53" s="649" t="s">
        <v>688</v>
      </c>
      <c r="F53" s="649" t="s">
        <v>1309</v>
      </c>
    </row>
    <row r="54" spans="1:6" ht="26.4" x14ac:dyDescent="0.25">
      <c r="A54" s="769" t="s">
        <v>1311</v>
      </c>
      <c r="B54" s="771">
        <v>43495</v>
      </c>
      <c r="C54" s="55" t="s">
        <v>419</v>
      </c>
      <c r="D54" s="55" t="s">
        <v>1312</v>
      </c>
      <c r="E54" s="768" t="s">
        <v>1339</v>
      </c>
      <c r="F54" s="768" t="s">
        <v>1313</v>
      </c>
    </row>
    <row r="55" spans="1:6" ht="26.4" x14ac:dyDescent="0.25">
      <c r="A55" s="239"/>
      <c r="B55" s="640"/>
      <c r="C55" s="770" t="s">
        <v>1334</v>
      </c>
      <c r="D55" s="772" t="s">
        <v>1333</v>
      </c>
      <c r="E55" s="239" t="s">
        <v>417</v>
      </c>
      <c r="F55" s="656"/>
    </row>
    <row r="56" spans="1:6" x14ac:dyDescent="0.25">
      <c r="A56" s="239"/>
      <c r="B56" s="640"/>
      <c r="C56" s="701" t="s">
        <v>419</v>
      </c>
      <c r="D56" s="772" t="s">
        <v>1335</v>
      </c>
      <c r="E56" s="239"/>
      <c r="F56" s="239"/>
    </row>
    <row r="57" spans="1:6" x14ac:dyDescent="0.25">
      <c r="A57" s="149"/>
      <c r="B57" s="641"/>
      <c r="C57" s="701" t="s">
        <v>419</v>
      </c>
      <c r="D57" s="772" t="s">
        <v>1338</v>
      </c>
      <c r="E57" s="149"/>
      <c r="F57" s="617" t="s">
        <v>1340</v>
      </c>
    </row>
    <row r="58" spans="1:6" x14ac:dyDescent="0.25">
      <c r="A58" s="774" t="s">
        <v>1341</v>
      </c>
      <c r="B58" s="773">
        <v>43625</v>
      </c>
      <c r="C58" s="649" t="s">
        <v>419</v>
      </c>
      <c r="D58" s="649" t="s">
        <v>1342</v>
      </c>
      <c r="E58" s="649" t="s">
        <v>1287</v>
      </c>
      <c r="F58" s="649" t="s">
        <v>1343</v>
      </c>
    </row>
    <row r="59" spans="1:6" ht="24.75" customHeight="1" x14ac:dyDescent="0.25">
      <c r="A59" s="774" t="s">
        <v>1344</v>
      </c>
      <c r="B59" s="773">
        <v>43844</v>
      </c>
      <c r="C59" s="649" t="s">
        <v>1044</v>
      </c>
      <c r="D59" s="689" t="s">
        <v>1347</v>
      </c>
      <c r="E59" s="649" t="s">
        <v>1345</v>
      </c>
      <c r="F59" s="660" t="s">
        <v>1346</v>
      </c>
    </row>
    <row r="60" spans="1:6" x14ac:dyDescent="0.25">
      <c r="A60" s="1008" t="s">
        <v>1356</v>
      </c>
      <c r="B60" s="1010">
        <v>44184</v>
      </c>
      <c r="C60" s="649" t="s">
        <v>1044</v>
      </c>
      <c r="D60" s="649" t="s">
        <v>1358</v>
      </c>
      <c r="E60" s="1012" t="s">
        <v>1287</v>
      </c>
      <c r="F60" s="1014" t="s">
        <v>1362</v>
      </c>
    </row>
    <row r="61" spans="1:6" x14ac:dyDescent="0.25">
      <c r="A61" s="1009"/>
      <c r="B61" s="1011"/>
      <c r="C61" s="649" t="s">
        <v>764</v>
      </c>
      <c r="D61" s="649" t="s">
        <v>1349</v>
      </c>
      <c r="E61" s="1013"/>
      <c r="F61" s="1013"/>
    </row>
    <row r="62" spans="1:6" x14ac:dyDescent="0.25">
      <c r="A62" s="1009"/>
      <c r="B62" s="1011"/>
      <c r="C62" s="656" t="s">
        <v>680</v>
      </c>
      <c r="D62" s="656" t="s">
        <v>1363</v>
      </c>
      <c r="E62" s="1013"/>
      <c r="F62" s="1013"/>
    </row>
    <row r="63" spans="1:6" x14ac:dyDescent="0.25">
      <c r="A63" s="239"/>
      <c r="B63" s="771">
        <v>44186</v>
      </c>
      <c r="C63" s="698" t="s">
        <v>419</v>
      </c>
      <c r="D63" s="649" t="s">
        <v>1360</v>
      </c>
      <c r="E63" s="656" t="s">
        <v>1345</v>
      </c>
      <c r="F63" s="656"/>
    </row>
    <row r="64" spans="1:6" x14ac:dyDescent="0.25">
      <c r="A64" s="239"/>
      <c r="B64" s="640"/>
      <c r="C64" s="239"/>
      <c r="D64" s="649" t="s">
        <v>1359</v>
      </c>
      <c r="E64" s="149" t="s">
        <v>1287</v>
      </c>
      <c r="F64" s="149" t="s">
        <v>1361</v>
      </c>
    </row>
    <row r="65" spans="1:6" ht="26.4" customHeight="1" x14ac:dyDescent="0.25">
      <c r="A65" s="149"/>
      <c r="B65" s="641">
        <v>44193</v>
      </c>
      <c r="C65" s="149"/>
      <c r="D65" s="777" t="s">
        <v>1365</v>
      </c>
      <c r="E65" s="649" t="s">
        <v>688</v>
      </c>
      <c r="F65" s="228" t="s">
        <v>1364</v>
      </c>
    </row>
    <row r="66" spans="1:6" x14ac:dyDescent="0.25">
      <c r="A66" s="769" t="s">
        <v>1372</v>
      </c>
      <c r="B66" s="69">
        <v>44343</v>
      </c>
      <c r="C66" s="660" t="s">
        <v>1383</v>
      </c>
      <c r="D66" s="660" t="s">
        <v>1376</v>
      </c>
      <c r="E66" s="806"/>
      <c r="F66" s="656"/>
    </row>
    <row r="67" spans="1:6" x14ac:dyDescent="0.25">
      <c r="A67" s="807"/>
      <c r="B67" s="640"/>
      <c r="C67" s="660" t="s">
        <v>679</v>
      </c>
      <c r="D67" s="660" t="s">
        <v>1375</v>
      </c>
      <c r="E67" s="222"/>
      <c r="F67" s="239"/>
    </row>
    <row r="68" spans="1:6" ht="26.4" x14ac:dyDescent="0.25">
      <c r="A68" s="239"/>
      <c r="B68" s="640"/>
      <c r="C68" s="660" t="s">
        <v>1044</v>
      </c>
      <c r="D68" s="689" t="s">
        <v>1382</v>
      </c>
      <c r="E68" s="222"/>
      <c r="F68" s="239"/>
    </row>
    <row r="69" spans="1:6" ht="27" customHeight="1" x14ac:dyDescent="0.25">
      <c r="A69" s="239"/>
      <c r="B69" s="640"/>
      <c r="C69" s="698" t="s">
        <v>419</v>
      </c>
      <c r="D69" s="660" t="s">
        <v>1381</v>
      </c>
      <c r="E69" s="222"/>
      <c r="F69" s="239"/>
    </row>
    <row r="70" spans="1:6" x14ac:dyDescent="0.25">
      <c r="A70" s="239"/>
      <c r="B70" s="640"/>
      <c r="C70" s="149"/>
      <c r="D70" s="649" t="s">
        <v>1373</v>
      </c>
      <c r="E70" s="222"/>
      <c r="F70" s="239"/>
    </row>
    <row r="71" spans="1:6" x14ac:dyDescent="0.25">
      <c r="A71" s="239"/>
      <c r="B71" s="640"/>
      <c r="C71" s="660" t="s">
        <v>1377</v>
      </c>
      <c r="D71" s="660" t="s">
        <v>1378</v>
      </c>
      <c r="E71" s="222"/>
      <c r="F71" s="239"/>
    </row>
    <row r="72" spans="1:6" ht="26.4" x14ac:dyDescent="0.25">
      <c r="A72" s="239"/>
      <c r="B72" s="640"/>
      <c r="C72" s="660" t="s">
        <v>676</v>
      </c>
      <c r="D72" s="689" t="s">
        <v>1385</v>
      </c>
      <c r="E72" s="222"/>
      <c r="F72" s="239"/>
    </row>
    <row r="73" spans="1:6" x14ac:dyDescent="0.25">
      <c r="A73" s="239"/>
      <c r="B73" s="640"/>
      <c r="C73" s="649" t="s">
        <v>1220</v>
      </c>
      <c r="D73" s="660" t="s">
        <v>1386</v>
      </c>
      <c r="E73" s="222"/>
      <c r="F73" s="239"/>
    </row>
    <row r="74" spans="1:6" x14ac:dyDescent="0.25">
      <c r="A74" s="239"/>
      <c r="B74" s="640"/>
      <c r="C74" s="660" t="s">
        <v>764</v>
      </c>
      <c r="D74" s="660" t="s">
        <v>1380</v>
      </c>
      <c r="E74" s="222"/>
      <c r="F74" s="239"/>
    </row>
    <row r="75" spans="1:6" x14ac:dyDescent="0.25">
      <c r="A75" s="149"/>
      <c r="B75" s="641"/>
      <c r="C75" s="660" t="s">
        <v>680</v>
      </c>
      <c r="D75" s="660" t="s">
        <v>1379</v>
      </c>
      <c r="E75" s="788" t="s">
        <v>688</v>
      </c>
      <c r="F75" s="816" t="s">
        <v>1384</v>
      </c>
    </row>
    <row r="76" spans="1:6" x14ac:dyDescent="0.25">
      <c r="A76" s="66" t="s">
        <v>1387</v>
      </c>
      <c r="B76" s="771">
        <v>44553</v>
      </c>
      <c r="C76" s="813" t="s">
        <v>1044</v>
      </c>
      <c r="D76" s="660" t="s">
        <v>1389</v>
      </c>
      <c r="E76" s="87" t="s">
        <v>688</v>
      </c>
      <c r="F76" s="656"/>
    </row>
    <row r="77" spans="1:6" x14ac:dyDescent="0.25">
      <c r="A77" s="66"/>
      <c r="B77" s="640">
        <v>44576</v>
      </c>
      <c r="C77" s="669"/>
      <c r="D77" s="660" t="s">
        <v>1433</v>
      </c>
      <c r="E77" s="87"/>
      <c r="F77" s="239" t="s">
        <v>1434</v>
      </c>
    </row>
    <row r="78" spans="1:6" x14ac:dyDescent="0.25">
      <c r="B78" s="640"/>
      <c r="C78" s="669"/>
      <c r="D78" s="846" t="s">
        <v>1390</v>
      </c>
      <c r="E78" s="87"/>
      <c r="F78" s="239"/>
    </row>
    <row r="79" spans="1:6" x14ac:dyDescent="0.25">
      <c r="B79" s="640"/>
      <c r="C79" s="669"/>
      <c r="D79" s="816" t="s">
        <v>1443</v>
      </c>
      <c r="E79" s="87"/>
      <c r="F79" s="847" t="s">
        <v>1434</v>
      </c>
    </row>
    <row r="80" spans="1:6" x14ac:dyDescent="0.25">
      <c r="B80" s="640"/>
      <c r="C80" s="846" t="s">
        <v>419</v>
      </c>
      <c r="D80" s="660" t="s">
        <v>1435</v>
      </c>
      <c r="E80" s="87"/>
      <c r="F80" s="239" t="s">
        <v>1434</v>
      </c>
    </row>
    <row r="81" spans="1:6" x14ac:dyDescent="0.25">
      <c r="B81" s="640"/>
      <c r="C81" s="847"/>
      <c r="D81" s="660" t="s">
        <v>1391</v>
      </c>
      <c r="E81" s="87"/>
      <c r="F81" s="239"/>
    </row>
    <row r="82" spans="1:6" x14ac:dyDescent="0.25">
      <c r="B82" s="640"/>
      <c r="C82" s="239"/>
      <c r="D82" s="660" t="s">
        <v>1420</v>
      </c>
      <c r="E82" s="87"/>
      <c r="F82" s="239"/>
    </row>
    <row r="83" spans="1:6" x14ac:dyDescent="0.25">
      <c r="B83" s="640"/>
      <c r="C83" s="239"/>
      <c r="D83" s="660" t="s">
        <v>1436</v>
      </c>
      <c r="E83" s="87"/>
      <c r="F83" s="239" t="s">
        <v>1434</v>
      </c>
    </row>
    <row r="84" spans="1:6" x14ac:dyDescent="0.25">
      <c r="B84" s="640"/>
      <c r="C84" s="239"/>
      <c r="D84" s="660" t="s">
        <v>1437</v>
      </c>
      <c r="E84" s="87"/>
      <c r="F84" s="239"/>
    </row>
    <row r="85" spans="1:6" x14ac:dyDescent="0.25">
      <c r="B85" s="640"/>
      <c r="C85" s="239"/>
      <c r="D85" s="660" t="s">
        <v>1408</v>
      </c>
      <c r="E85" s="87"/>
      <c r="F85" s="239"/>
    </row>
    <row r="86" spans="1:6" x14ac:dyDescent="0.25">
      <c r="B86" s="640"/>
      <c r="C86" s="239"/>
      <c r="D86" s="660" t="s">
        <v>1411</v>
      </c>
      <c r="E86" s="87"/>
      <c r="F86" s="239"/>
    </row>
    <row r="87" spans="1:6" x14ac:dyDescent="0.25">
      <c r="B87" s="640"/>
      <c r="C87" s="239"/>
      <c r="D87" s="660" t="s">
        <v>1403</v>
      </c>
      <c r="E87" s="87"/>
      <c r="F87" s="239"/>
    </row>
    <row r="88" spans="1:6" ht="28.2" customHeight="1" x14ac:dyDescent="0.25">
      <c r="B88" s="640"/>
      <c r="C88" s="239"/>
      <c r="D88" s="689" t="s">
        <v>1410</v>
      </c>
      <c r="E88" s="87"/>
      <c r="F88" s="239"/>
    </row>
    <row r="89" spans="1:6" x14ac:dyDescent="0.25">
      <c r="B89" s="640"/>
      <c r="C89" s="239"/>
      <c r="D89" s="660" t="s">
        <v>1421</v>
      </c>
      <c r="E89" s="87"/>
      <c r="F89" s="239"/>
    </row>
    <row r="90" spans="1:6" x14ac:dyDescent="0.25">
      <c r="B90" s="640"/>
      <c r="C90" s="239"/>
      <c r="D90" s="660" t="s">
        <v>1439</v>
      </c>
      <c r="E90" s="87"/>
      <c r="F90" s="239" t="s">
        <v>1434</v>
      </c>
    </row>
    <row r="91" spans="1:6" ht="26.4" x14ac:dyDescent="0.25">
      <c r="B91" s="640"/>
      <c r="C91" s="239"/>
      <c r="D91" s="689" t="s">
        <v>1444</v>
      </c>
      <c r="E91" s="87"/>
      <c r="F91" s="847" t="s">
        <v>1434</v>
      </c>
    </row>
    <row r="92" spans="1:6" x14ac:dyDescent="0.25">
      <c r="B92" s="640"/>
      <c r="C92" s="149"/>
      <c r="D92" s="660" t="s">
        <v>1438</v>
      </c>
      <c r="E92" s="87"/>
      <c r="F92" s="239" t="s">
        <v>1434</v>
      </c>
    </row>
    <row r="93" spans="1:6" ht="39.6" x14ac:dyDescent="0.25">
      <c r="A93" s="250"/>
      <c r="B93" s="641"/>
      <c r="C93" s="815" t="s">
        <v>1220</v>
      </c>
      <c r="D93" s="689" t="s">
        <v>1409</v>
      </c>
      <c r="E93" s="215"/>
      <c r="F93" s="845" t="s">
        <v>1440</v>
      </c>
    </row>
    <row r="94" spans="1:6" x14ac:dyDescent="0.25">
      <c r="A94" s="849" t="s">
        <v>1446</v>
      </c>
      <c r="B94" s="852">
        <v>44905</v>
      </c>
      <c r="C94" s="815" t="s">
        <v>1220</v>
      </c>
      <c r="D94" s="815" t="s">
        <v>1447</v>
      </c>
      <c r="E94" s="849" t="s">
        <v>1449</v>
      </c>
      <c r="F94" s="660" t="s">
        <v>1449</v>
      </c>
    </row>
    <row r="95" spans="1:6" ht="39.6" x14ac:dyDescent="0.25">
      <c r="A95" s="228"/>
      <c r="B95" s="850"/>
      <c r="C95" s="815" t="s">
        <v>1220</v>
      </c>
      <c r="D95" s="853" t="s">
        <v>1448</v>
      </c>
      <c r="E95" s="851" t="s">
        <v>1449</v>
      </c>
      <c r="F95" s="660" t="s">
        <v>1449</v>
      </c>
    </row>
  </sheetData>
  <sheetProtection algorithmName="SHA-512" hashValue="JPu2KdnUjHUfHH0a8CNIhR1+qMGLm3GQFN3QdcDTeJbBu4kJSx7FrVJGXfLMk8q0ekvxq+oatWwi+uhkoG3nPQ==" saltValue="33EHHVgztZB/0jFv+qXOrA==" spinCount="100000" sheet="1" objects="1" scenarios="1"/>
  <mergeCells count="6">
    <mergeCell ref="F46:F49"/>
    <mergeCell ref="E46:E49"/>
    <mergeCell ref="A60:A62"/>
    <mergeCell ref="B60:B62"/>
    <mergeCell ref="E60:E62"/>
    <mergeCell ref="F60:F62"/>
  </mergeCells>
  <phoneticPr fontId="14" type="noConversion"/>
  <pageMargins left="0.59055118110236227" right="0.59055118110236227" top="0.98425196850393704" bottom="0.98425196850393704" header="0.51181102362204722" footer="0.51181102362204722"/>
  <pageSetup paperSize="9" scale="88" fitToHeight="0" orientation="landscape" r:id="rId1"/>
  <headerFooter alignWithMargins="0">
    <oddFooter>&amp;R&amp;8&amp;P/&amp;N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2">
    <pageSetUpPr fitToPage="1"/>
  </sheetPr>
  <dimension ref="A1"/>
  <sheetViews>
    <sheetView workbookViewId="0"/>
  </sheetViews>
  <sheetFormatPr baseColWidth="10" defaultColWidth="11.33203125" defaultRowHeight="13.2" x14ac:dyDescent="0.25"/>
  <cols>
    <col min="1" max="16384" width="11.33203125" style="1"/>
  </cols>
  <sheetData>
    <row r="1" spans="1:1" x14ac:dyDescent="0.25">
      <c r="A1" s="3" t="s">
        <v>1299</v>
      </c>
    </row>
  </sheetData>
  <sheetProtection algorithmName="SHA-512" hashValue="5/VOpNiJEXae2Yv3UNtXZ8qzLWAEBbZSkdwlCQxsdtzWKF/NKKz/BTA1T1VvLXlpzPjRi/TruGkP8J/zsddYZQ==" saltValue="45YrwgdXB1Ogh7dR32eKiw==" spinCount="100000" sheet="1" objects="1" scenarios="1"/>
  <phoneticPr fontId="0" type="noConversion"/>
  <pageMargins left="0.98425196850393704" right="0.78740157480314965" top="0.98425196850393704" bottom="0.98425196850393704" header="0.51181102362204722" footer="0.51181102362204722"/>
  <pageSetup paperSize="9" orientation="portrait" r:id="rId1"/>
  <headerFooter alignWithMargins="0">
    <oddFooter>&amp;R&amp;8&amp;P/&amp;N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outlinePr showOutlineSymbols="0"/>
  </sheetPr>
  <dimension ref="A1:DP470"/>
  <sheetViews>
    <sheetView showGridLines="0" showZeros="0" showOutlineSymbols="0" topLeftCell="A5" zoomScale="90" zoomScaleNormal="90" workbookViewId="0">
      <selection activeCell="I30" sqref="I30"/>
    </sheetView>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13.6640625" style="55" hidden="1" customWidth="1"/>
    <col min="13" max="13" width="6.33203125" style="55" hidden="1" customWidth="1"/>
    <col min="14" max="15" width="6.6640625" style="55" hidden="1" customWidth="1"/>
    <col min="16" max="16" width="12.33203125" style="55" hidden="1" customWidth="1"/>
    <col min="17" max="17" width="12" style="55" hidden="1" customWidth="1"/>
    <col min="18" max="18" width="8.109375" style="55" hidden="1" customWidth="1"/>
    <col min="19" max="19" width="10.88671875" style="55" hidden="1" customWidth="1"/>
    <col min="20" max="20" width="11.33203125" style="55" hidden="1" customWidth="1"/>
    <col min="21" max="21" width="7" style="55" hidden="1" customWidth="1"/>
    <col min="22" max="26" width="2" style="55" hidden="1" customWidth="1"/>
    <col min="27" max="27" width="42.33203125" style="55" hidden="1" customWidth="1"/>
    <col min="28" max="28" width="10.33203125" style="55" hidden="1" customWidth="1"/>
    <col min="29" max="29" width="5" style="55" hidden="1" customWidth="1"/>
    <col min="30" max="30" width="6.109375" style="55" hidden="1" customWidth="1"/>
    <col min="31" max="31" width="7.33203125" style="55" hidden="1" customWidth="1"/>
    <col min="32" max="32" width="6.88671875" style="55" hidden="1" customWidth="1"/>
    <col min="33" max="33" width="5.6640625" style="55" hidden="1" customWidth="1"/>
    <col min="34" max="34" width="7" style="55" hidden="1" customWidth="1"/>
    <col min="35" max="35" width="22"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6640625" style="137" hidden="1" customWidth="1"/>
    <col min="42" max="42" width="17.88671875" style="55" hidden="1" customWidth="1"/>
    <col min="43" max="43" width="14.6640625" style="137" hidden="1" customWidth="1"/>
    <col min="44" max="44" width="14.33203125" style="55" hidden="1" customWidth="1"/>
    <col min="45" max="45" width="3.6640625" style="55" hidden="1" customWidth="1"/>
    <col min="46" max="46" width="31.33203125" style="63" hidden="1" customWidth="1"/>
    <col min="47" max="47" width="3.6640625" style="55" hidden="1" customWidth="1"/>
    <col min="48" max="48" width="12.33203125" style="55" hidden="1" customWidth="1"/>
    <col min="49" max="49" width="24.3320312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3"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33203125" style="55" hidden="1" customWidth="1"/>
    <col min="62" max="69" width="2" style="55" hidden="1" customWidth="1"/>
    <col min="70" max="70" width="131.33203125" style="55" hidden="1" customWidth="1"/>
    <col min="71" max="71" width="3" style="55" hidden="1" customWidth="1"/>
    <col min="72" max="72" width="3.6640625" style="55" hidden="1" customWidth="1"/>
    <col min="73" max="73" width="97.33203125"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4.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109375"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Januar</v>
      </c>
      <c r="H1" s="450" t="str">
        <f ca="1">INDIRECT(ADDRESS(ROW()+N_Offset_M,COLUMN()+(N_SpracheAuswahl)*26,,,"Text"))</f>
        <v>zurück zum Intro</v>
      </c>
      <c r="I1" s="449"/>
      <c r="O1" s="56" t="s">
        <v>97</v>
      </c>
      <c r="P1" s="309">
        <f>DATE('  B  '!C13,1,1)</f>
        <v>45292</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c r="AC7" s="55">
        <f t="shared" ref="AC7" ca="1" si="0">AC260*AC272</f>
        <v>0</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1">INDIRECT(ADDRESS(ROW()+N_Offset_M,COLUMN()+(N_SpracheAuswahl)*26,,,"Text"))</f>
        <v>Monatlliche Abrechnung: Geben Sie hier die Informationen ein, um die Lohnabrechnung für diesen Monat zu erstellen</v>
      </c>
      <c r="C13" s="928">
        <f t="shared" ca="1" si="1"/>
        <v>0</v>
      </c>
      <c r="D13" s="928">
        <f t="shared" ca="1" si="1"/>
        <v>0</v>
      </c>
      <c r="E13" s="928">
        <f t="shared" ca="1" si="1"/>
        <v>0</v>
      </c>
      <c r="F13" s="928">
        <f t="shared" ca="1" si="1"/>
        <v>0</v>
      </c>
      <c r="G13" s="928">
        <f t="shared" ca="1" si="1"/>
        <v>0</v>
      </c>
      <c r="H13" s="928">
        <f t="shared" ca="1" si="1"/>
        <v>0</v>
      </c>
      <c r="I13" s="928">
        <f t="shared" ca="1" si="1"/>
        <v>0</v>
      </c>
      <c r="P13" s="56"/>
    </row>
    <row r="14" spans="1:46" ht="13.8" thickBot="1" x14ac:dyDescent="0.3">
      <c r="A14" s="456" t="str">
        <f ca="1">B_Zeile&amp;" "&amp;ROW(Linkziel_M_Lohnabrechnung)</f>
        <v>Zeile 46</v>
      </c>
      <c r="B14" s="928" t="str">
        <f t="shared" ca="1" si="1"/>
        <v>Lohnabrechnung zum Ausdrucken</v>
      </c>
      <c r="C14" s="928">
        <f t="shared" ca="1" si="1"/>
        <v>0</v>
      </c>
      <c r="D14" s="928">
        <f t="shared" ca="1" si="1"/>
        <v>0</v>
      </c>
      <c r="E14" s="928">
        <f t="shared" ca="1" si="1"/>
        <v>0</v>
      </c>
      <c r="F14" s="928">
        <f t="shared" ca="1" si="1"/>
        <v>0</v>
      </c>
      <c r="G14" s="928">
        <f t="shared" ca="1" si="1"/>
        <v>0</v>
      </c>
      <c r="H14" s="928">
        <f t="shared" ca="1" si="1"/>
        <v>0</v>
      </c>
      <c r="I14" s="928">
        <f t="shared" ca="1" si="1"/>
        <v>0</v>
      </c>
      <c r="P14" s="56"/>
    </row>
    <row r="15" spans="1:46" ht="39.9" customHeight="1" thickBot="1" x14ac:dyDescent="0.3">
      <c r="A15" s="456" t="str">
        <f ca="1">B_Zeile&amp;" "&amp;ROW(Linkziel_M_ASTeK)</f>
        <v>Zeile 146</v>
      </c>
      <c r="B15" s="928" t="str">
        <f t="shared" ca="1" si="1"/>
        <v>Verrechnung Assistenzbeitrag: Hier finden Sie die Daten für den Übertrag ins ASTeK (bzw. für das Rechnungsformular Assistenzbeitrag, falls Sie das ASTeK nicht verwenden)</v>
      </c>
      <c r="C15" s="928">
        <f t="shared" ca="1" si="1"/>
        <v>0</v>
      </c>
      <c r="D15" s="928">
        <f t="shared" ca="1" si="1"/>
        <v>0</v>
      </c>
      <c r="E15" s="928">
        <f t="shared" ca="1" si="1"/>
        <v>0</v>
      </c>
      <c r="F15" s="928">
        <f t="shared" ca="1" si="1"/>
        <v>0</v>
      </c>
      <c r="G15" s="928">
        <f t="shared" ca="1" si="1"/>
        <v>0</v>
      </c>
      <c r="H15" s="928">
        <f t="shared" ca="1" si="1"/>
        <v>0</v>
      </c>
      <c r="I15" s="928">
        <f t="shared" ca="1" si="1"/>
        <v>0</v>
      </c>
      <c r="P15" s="56"/>
      <c r="AT15" s="55"/>
    </row>
    <row r="16" spans="1:46" ht="27" customHeight="1" thickBot="1" x14ac:dyDescent="0.3">
      <c r="A16" s="456" t="str">
        <f ca="1">B_Zeile&amp;" "&amp;ROW(Linkziel_M_Abwesenheiten)</f>
        <v>Zeile 199</v>
      </c>
      <c r="B16" s="928" t="str">
        <f t="shared" ca="1" si="1"/>
        <v>Abwesenheiten: Geben Sie hier ein, wenn die Assistenzperson Ferien bezieht, krank ist, oder wenn wegen Heim- / Spitalaufenthalt keine Leistung entgegen genommen werden kann</v>
      </c>
      <c r="C16" s="928">
        <f t="shared" ca="1" si="1"/>
        <v>0</v>
      </c>
      <c r="D16" s="928">
        <f t="shared" ca="1" si="1"/>
        <v>0</v>
      </c>
      <c r="E16" s="928">
        <f t="shared" ca="1" si="1"/>
        <v>0</v>
      </c>
      <c r="F16" s="928">
        <f t="shared" ca="1" si="1"/>
        <v>0</v>
      </c>
      <c r="G16" s="928">
        <f t="shared" ca="1" si="1"/>
        <v>0</v>
      </c>
      <c r="H16" s="928">
        <f t="shared" ca="1" si="1"/>
        <v>0</v>
      </c>
      <c r="I16" s="928">
        <f t="shared" ca="1" si="1"/>
        <v>0</v>
      </c>
      <c r="P16" s="56"/>
      <c r="AT16" s="55"/>
    </row>
    <row r="17" spans="1:46" ht="27" customHeight="1" thickBot="1" x14ac:dyDescent="0.3">
      <c r="A17" s="456" t="str">
        <f ca="1">B_Zeile&amp;" "&amp;ROW(Linkziel_M_Einsatzrapport)</f>
        <v>Zeile 259</v>
      </c>
      <c r="B17" s="928" t="str">
        <f t="shared" ca="1" si="1"/>
        <v>Einsatzrapport: Wenn Sie einen Einsatzrapport führen wollen, können Sie hier die Arbeitszeit pro Tag erfassen</v>
      </c>
      <c r="C17" s="928">
        <f t="shared" ca="1" si="1"/>
        <v>0</v>
      </c>
      <c r="D17" s="928">
        <f t="shared" ca="1" si="1"/>
        <v>0</v>
      </c>
      <c r="E17" s="928">
        <f t="shared" ca="1" si="1"/>
        <v>0</v>
      </c>
      <c r="F17" s="928">
        <f t="shared" ca="1" si="1"/>
        <v>0</v>
      </c>
      <c r="G17" s="928">
        <f t="shared" ca="1" si="1"/>
        <v>0</v>
      </c>
      <c r="H17" s="928">
        <f t="shared" ca="1" si="1"/>
        <v>0</v>
      </c>
      <c r="I17" s="928">
        <f t="shared" ca="1" si="1"/>
        <v>0</v>
      </c>
      <c r="P17" s="56"/>
      <c r="AT17" s="55"/>
    </row>
    <row r="18" spans="1:46" ht="27" customHeight="1" thickBot="1" x14ac:dyDescent="0.3">
      <c r="A18" s="456" t="str">
        <f ca="1">B_Zeile&amp;" "&amp;ROW(Linkziel_M_Korrekturen)</f>
        <v>Zeile 309</v>
      </c>
      <c r="B18" s="928" t="str">
        <f t="shared" ca="1" si="1"/>
        <v>Korrekturen: Wenn Sie Korrekturen zu einer früheren Lohnabrechnung machen müssen, können Sie diese hier eingeben</v>
      </c>
      <c r="C18" s="928">
        <f t="shared" ca="1" si="1"/>
        <v>0</v>
      </c>
      <c r="D18" s="928">
        <f t="shared" ca="1" si="1"/>
        <v>0</v>
      </c>
      <c r="E18" s="928">
        <f t="shared" ca="1" si="1"/>
        <v>0</v>
      </c>
      <c r="F18" s="928">
        <f t="shared" ca="1" si="1"/>
        <v>0</v>
      </c>
      <c r="G18" s="928">
        <f t="shared" ca="1" si="1"/>
        <v>0</v>
      </c>
      <c r="H18" s="928">
        <f t="shared" ca="1" si="1"/>
        <v>0</v>
      </c>
      <c r="I18" s="928">
        <f t="shared" ca="1" si="1"/>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45292</v>
      </c>
      <c r="I21" s="901"/>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593"/>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
        <v>875</v>
      </c>
      <c r="O25" s="289">
        <f ca="1">IF(Q$24,1,0)</f>
        <v>1</v>
      </c>
      <c r="P25" s="56"/>
      <c r="AA25" s="96" t="str">
        <f t="shared" ref="AA25:AA45" ca="1" si="2">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3">IF(Q$24,1,0)</f>
        <v>1</v>
      </c>
      <c r="AA26" s="96" t="str">
        <f t="shared" ca="1" si="2"/>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3"/>
        <v>1</v>
      </c>
      <c r="AA27" s="96" t="str">
        <f t="shared" ca="1" si="2"/>
        <v xml:space="preserve">Art der Leistung </v>
      </c>
      <c r="AB27" s="96"/>
      <c r="AC27" s="96"/>
      <c r="AD27" s="96"/>
      <c r="AE27" s="96" t="str">
        <f t="shared" ref="AE27:AF39" ca="1" si="4">INDIRECT(ADDRESS(ROW()+N_Offset_M,COLUMN(E27)+(N_SpracheAuswahl)*26,,,"Text"))</f>
        <v>Einheit</v>
      </c>
      <c r="AF27" s="96"/>
      <c r="AG27" s="367"/>
      <c r="AH27" s="368"/>
      <c r="AI27" s="368" t="str">
        <f ca="1">INDIRECT(ADDRESS(ROW()+N_Offset_M,COLUMN(I27)+(N_SpracheAuswahl)*26,,,"Text"))</f>
        <v>Anzahl</v>
      </c>
      <c r="AJ27" s="368"/>
      <c r="AK27" s="368"/>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3"/>
        <v>1</v>
      </c>
      <c r="P28" s="364">
        <f ca="1">IF(VLOOKUP(I$25,A_JaNein_Auswahl,2)=2,I28,B295)</f>
        <v>0</v>
      </c>
      <c r="AA28" s="55" t="str">
        <f t="shared" ca="1" si="2"/>
        <v>Standardqualifikation</v>
      </c>
      <c r="AE28" s="55" t="str">
        <f t="shared" ca="1" si="4"/>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3"/>
        <v>1</v>
      </c>
      <c r="P29" s="364">
        <f ca="1">IF(VLOOKUP(I$25,A_JaNein_Auswahl,2)=2,I29,C295)</f>
        <v>0</v>
      </c>
      <c r="AA29" s="55" t="str">
        <f t="shared" ca="1" si="2"/>
        <v>Qualifikation B</v>
      </c>
      <c r="AE29" s="55" t="str">
        <f t="shared" ca="1" si="4"/>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3"/>
        <v>1</v>
      </c>
      <c r="P30" s="364">
        <f ca="1">IF(VLOOKUP(I$25,A_JaNein_Auswahl,2)=2,I30,D295)</f>
        <v>0</v>
      </c>
      <c r="AA30" s="55" t="str">
        <f t="shared" ca="1" si="2"/>
        <v>Nachtdienst</v>
      </c>
      <c r="AE30" s="55" t="str">
        <f t="shared" ca="1" si="4"/>
        <v>Nächte</v>
      </c>
    </row>
    <row r="31" spans="1:46" ht="39.9" customHeight="1" x14ac:dyDescent="0.25">
      <c r="A31" s="935" t="str">
        <f t="shared" ref="A31:A45" ca="1" si="5">IF(O31=0,"",AA31)</f>
        <v>Lohnfortzahlung während Ferien / Arbeitsunfähigkeit</v>
      </c>
      <c r="B31" s="935"/>
      <c r="C31" s="935"/>
      <c r="D31" s="935"/>
      <c r="E31" s="932" t="str">
        <f t="shared" ref="E31:E36" ca="1" si="6">IF(O31=0,"",AE31)</f>
        <v>Stunden, automatisch berechnet aus Abwesenheiten</v>
      </c>
      <c r="F31" s="932"/>
      <c r="G31" s="57"/>
      <c r="H31" s="178"/>
      <c r="I31" s="142">
        <f ca="1">G295</f>
        <v>0</v>
      </c>
      <c r="O31" s="289">
        <f t="shared" ca="1" si="3"/>
        <v>1</v>
      </c>
      <c r="AA31" s="55" t="str">
        <f t="shared" ca="1" si="2"/>
        <v>Lohnfortzahlung während Ferien / Arbeitsunfähigkeit</v>
      </c>
      <c r="AE31" s="55" t="str">
        <f t="shared" ca="1" si="4"/>
        <v>Stunden, automatisch berechnet aus Abwesenheiten</v>
      </c>
    </row>
    <row r="32" spans="1:46" ht="27" hidden="1" customHeight="1" x14ac:dyDescent="0.25">
      <c r="A32" s="935" t="str">
        <f ca="1">IF(O32=0,"",AA32)</f>
        <v/>
      </c>
      <c r="B32" s="935"/>
      <c r="C32" s="935"/>
      <c r="D32" s="935"/>
      <c r="E32" s="92" t="str">
        <f t="shared" ca="1" si="6"/>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2"/>
        <v>Taggelder der Unfallversicherung</v>
      </c>
      <c r="AE32" s="55" t="str">
        <f t="shared" ca="1" si="4"/>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6"/>
        <v>CHF</v>
      </c>
      <c r="F33" s="936" t="str">
        <f ca="1">IF(O33=0,"",AF33)</f>
        <v>Auszahlung in diesem Monat</v>
      </c>
      <c r="G33" s="936"/>
      <c r="H33" s="937"/>
      <c r="I33" s="174"/>
      <c r="O33" s="289">
        <f t="shared" ca="1" si="3"/>
        <v>1</v>
      </c>
      <c r="AA33" s="55" t="str">
        <f t="shared" ca="1" si="2"/>
        <v>Taggelder der Unfallversicherung</v>
      </c>
      <c r="AE33" s="55" t="str">
        <f t="shared" ca="1" si="4"/>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6"/>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4"/>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6"/>
        <v/>
      </c>
      <c r="F35" s="936" t="str">
        <f ca="1">IF(O35=0,"",AF35)</f>
        <v/>
      </c>
      <c r="G35" s="936"/>
      <c r="H35" s="937"/>
      <c r="I35" s="174"/>
      <c r="O35" s="289">
        <f ca="1">IF(AND(Q$24,Q$213),1,0)</f>
        <v>0</v>
      </c>
      <c r="AA35" s="55" t="str">
        <f ca="1">INDIRECT(ADDRESS(ROW()+N_Offset_M,COLUMN(A35)+(N_SpracheAuswahl)*26,,,"Text"))</f>
        <v>Taggelder der Krankenversicherung</v>
      </c>
      <c r="AE35" s="55" t="str">
        <f t="shared" ca="1" si="4"/>
        <v>CHF</v>
      </c>
      <c r="AF35" s="55" t="str">
        <f ca="1">INDIRECT(ADDRESS(ROW()+N_Offset_M,COLUMN(F35)+(N_SpracheAuswahl)*26,,,"Text"))</f>
        <v>Auszahlung in diesem Monat</v>
      </c>
    </row>
    <row r="36" spans="1:43" x14ac:dyDescent="0.25">
      <c r="A36" s="934" t="str">
        <f t="shared" ca="1" si="5"/>
        <v>Überstunden (Auszahlung)</v>
      </c>
      <c r="B36" s="934"/>
      <c r="C36" s="934"/>
      <c r="D36" s="934"/>
      <c r="E36" s="92" t="str">
        <f t="shared" ca="1" si="6"/>
        <v>Stunden</v>
      </c>
      <c r="F36" s="92"/>
      <c r="G36" s="452" t="str">
        <f ca="1">IF(O36=0,"",IF(H36&gt;0,AG36,""))</f>
        <v/>
      </c>
      <c r="H36" s="453">
        <f ca="1">IF(O36=0,"",MAX(0,-SUM(F299:F304)))</f>
        <v>0</v>
      </c>
      <c r="I36" s="140"/>
      <c r="O36" s="289">
        <f t="shared" ca="1" si="3"/>
        <v>1</v>
      </c>
      <c r="AA36" s="55" t="str">
        <f t="shared" ca="1" si="2"/>
        <v>Überstunden (Auszahlung)</v>
      </c>
      <c r="AE36" s="55" t="str">
        <f t="shared" ca="1" si="4"/>
        <v>Stunden</v>
      </c>
      <c r="AG36" s="55" t="str">
        <f ca="1">INDIRECT(ADDRESS(ROW()+N_Offset_M,COLUMN(G36)+(N_SpracheAuswahl)*26,,,"Text"))</f>
        <v>aktueller Stand</v>
      </c>
    </row>
    <row r="37" spans="1:43" x14ac:dyDescent="0.25">
      <c r="A37" s="57" t="str">
        <f t="shared" ca="1" si="5"/>
        <v/>
      </c>
      <c r="B37" s="608"/>
      <c r="C37" s="608"/>
      <c r="D37" s="608"/>
      <c r="E37" s="92"/>
      <c r="F37" s="92" t="str">
        <f ca="1">IF(O37=0,"",AF37)</f>
        <v/>
      </c>
      <c r="G37" s="452"/>
      <c r="H37" s="453"/>
      <c r="I37" s="174"/>
      <c r="O37" s="289">
        <f ca="1">IF(Q$24,IF(VLOOKUP('  B  '!C84,A_JaNein_Auswahl,2,0)=1,1,0),0)</f>
        <v>0</v>
      </c>
      <c r="Q37" s="633">
        <f>ROW()</f>
        <v>37</v>
      </c>
      <c r="AA37" s="55" t="str">
        <f t="shared" ca="1" si="2"/>
        <v>Kinder- / Ausbildungszulage</v>
      </c>
      <c r="AF37" s="55" t="str">
        <f t="shared" ca="1" si="4"/>
        <v>Franken pro Monat</v>
      </c>
    </row>
    <row r="38" spans="1:43" x14ac:dyDescent="0.25">
      <c r="A38" s="57" t="str">
        <f t="shared" ca="1" si="5"/>
        <v/>
      </c>
      <c r="B38" s="608"/>
      <c r="C38" s="608"/>
      <c r="D38" s="608"/>
      <c r="E38" s="92" t="str">
        <f ca="1">IF(O38=0,"",AE38)</f>
        <v/>
      </c>
      <c r="F38" s="92"/>
      <c r="G38" s="452"/>
      <c r="H38" s="453"/>
      <c r="I38" s="618"/>
      <c r="O38" s="289">
        <f ca="1">IF(Q$24,IF(VLOOKUP('  B  '!C85,A_JaNein_Auswahl,2,0)=1,1,0),0)</f>
        <v>0</v>
      </c>
      <c r="Q38" s="633">
        <f>ROW()</f>
        <v>38</v>
      </c>
      <c r="AA38" s="55" t="str">
        <f t="shared" ca="1" si="2"/>
        <v>Quellensteuer</v>
      </c>
      <c r="AE38" s="55" t="str">
        <f t="shared" ca="1" si="4"/>
        <v>Prozent</v>
      </c>
    </row>
    <row r="39" spans="1:43" x14ac:dyDescent="0.25">
      <c r="A39" s="934" t="str">
        <f t="shared" ca="1" si="5"/>
        <v>Kost und Logis</v>
      </c>
      <c r="B39" s="934"/>
      <c r="C39" s="934"/>
      <c r="D39" s="934"/>
      <c r="E39" s="451" t="str">
        <f ca="1">IF(O39=0,"",AE39)</f>
        <v>CHF</v>
      </c>
      <c r="F39" s="619" t="str">
        <f ca="1">IF(O39=0,"",HYPERLINK(OFFSET(Vorgabewerte!A76,N_SpracheAuswahl,0),AF39))</f>
        <v>Merkblatt AHV 2.01</v>
      </c>
      <c r="I39" s="174"/>
      <c r="O39" s="289">
        <f t="shared" ca="1" si="3"/>
        <v>1</v>
      </c>
      <c r="AA39" s="55" t="str">
        <f t="shared" ca="1" si="2"/>
        <v>Kost und Logis</v>
      </c>
      <c r="AE39" s="55" t="str">
        <f t="shared" ca="1" si="4"/>
        <v>CHF</v>
      </c>
      <c r="AF39" s="55" t="str">
        <f ca="1">INDIRECT(ADDRESS(ROW()+N_Offset_M,COLUMN(F39)+(N_SpracheAuswahl)*26,,,"Text"))</f>
        <v>Merkblatt AHV 2.01</v>
      </c>
    </row>
    <row r="40" spans="1:43" x14ac:dyDescent="0.25">
      <c r="A40" s="57" t="str">
        <f t="shared" ca="1" si="5"/>
        <v>Spesen, Beschreibung (40 Zeichen)</v>
      </c>
      <c r="B40" s="57"/>
      <c r="C40" s="57"/>
      <c r="D40" s="57"/>
      <c r="E40" s="178"/>
      <c r="F40" s="929"/>
      <c r="G40" s="929"/>
      <c r="H40" s="929"/>
      <c r="I40" s="929"/>
      <c r="O40" s="289">
        <f t="shared" ca="1" si="3"/>
        <v>1</v>
      </c>
      <c r="AA40" s="55" t="str">
        <f t="shared" ca="1" si="2"/>
        <v>Spesen, Beschreibung (40 Zeichen)</v>
      </c>
    </row>
    <row r="41" spans="1:43" x14ac:dyDescent="0.25">
      <c r="A41" s="930" t="str">
        <f t="shared" ca="1" si="5"/>
        <v>Spesenbetrag</v>
      </c>
      <c r="B41" s="930"/>
      <c r="C41" s="930"/>
      <c r="D41" s="930"/>
      <c r="E41" s="931" t="str">
        <f ca="1">IF(O41=0,"",AE41)</f>
        <v>CHF</v>
      </c>
      <c r="F41" s="931"/>
      <c r="I41" s="175"/>
      <c r="O41" s="289">
        <f t="shared" ca="1" si="3"/>
        <v>1</v>
      </c>
      <c r="AA41" s="55" t="str">
        <f t="shared" ca="1" si="2"/>
        <v>Spesenbetrag</v>
      </c>
      <c r="AE41" s="55" t="str">
        <f ca="1">INDIRECT(ADDRESS(ROW()+N_Offset_M,COLUMN(E41)+(N_SpracheAuswahl)*26,,,"Text"))</f>
        <v>CHF</v>
      </c>
    </row>
    <row r="42" spans="1:43" x14ac:dyDescent="0.25">
      <c r="A42" s="934" t="str">
        <f t="shared" ca="1" si="5"/>
        <v>Weitere Beiträge / Abzüge, Beschreibung (40 Zeichen)</v>
      </c>
      <c r="B42" s="947"/>
      <c r="C42" s="947"/>
      <c r="D42" s="947"/>
      <c r="E42" s="948"/>
      <c r="F42" s="949"/>
      <c r="G42" s="950"/>
      <c r="H42" s="950"/>
      <c r="I42" s="951"/>
      <c r="O42" s="289">
        <f t="shared" ca="1" si="3"/>
        <v>1</v>
      </c>
      <c r="AA42" s="55" t="str">
        <f t="shared" ca="1" si="2"/>
        <v>Weitere Beiträge / Abzüge, Beschreibung (40 Zeichen)</v>
      </c>
    </row>
    <row r="43" spans="1:43" x14ac:dyDescent="0.25">
      <c r="A43" s="930" t="str">
        <f t="shared" ca="1" si="5"/>
        <v>Betrag</v>
      </c>
      <c r="B43" s="947"/>
      <c r="C43" s="947"/>
      <c r="D43" s="947"/>
      <c r="E43" s="891" t="str">
        <f ca="1">IF(O43=0,"",AE43)</f>
        <v>CHF ( Abzüge mit Minuszeichen)</v>
      </c>
      <c r="F43" s="881"/>
      <c r="G43" s="945"/>
      <c r="H43" s="946"/>
      <c r="I43" s="175"/>
      <c r="O43" s="289">
        <f t="shared" ca="1" si="3"/>
        <v>1</v>
      </c>
      <c r="AA43" s="55" t="str">
        <f t="shared" ca="1" si="2"/>
        <v>Betrag</v>
      </c>
      <c r="AE43" s="55" t="str">
        <f ca="1">INDIRECT(ADDRESS(ROW()+N_Offset_M,COLUMN(E43)+(N_SpracheAuswahl)*26,,,"Text"))</f>
        <v>CHF ( Abzüge mit Minuszeichen)</v>
      </c>
    </row>
    <row r="44" spans="1:43" x14ac:dyDescent="0.25">
      <c r="A44" s="952" t="str">
        <f t="shared" ca="1" si="5"/>
        <v>Bemerkung auf Lohnabrechnung, Zeile 1 (40 Zeichen)</v>
      </c>
      <c r="B44" s="947"/>
      <c r="C44" s="947"/>
      <c r="D44" s="947"/>
      <c r="E44" s="948"/>
      <c r="F44" s="949"/>
      <c r="G44" s="950"/>
      <c r="H44" s="950"/>
      <c r="I44" s="951"/>
      <c r="O44" s="289">
        <f t="shared" ca="1" si="3"/>
        <v>1</v>
      </c>
      <c r="AA44" s="55" t="str">
        <f t="shared" ca="1" si="2"/>
        <v>Bemerkung auf Lohnabrechnung, Zeile 1 (40 Zeichen)</v>
      </c>
    </row>
    <row r="45" spans="1:43" x14ac:dyDescent="0.25">
      <c r="A45" s="953" t="str">
        <f t="shared" ca="1" si="5"/>
        <v>Bemerkung auf Lohnabrechnung, Zeile 2 (40 Zeichen)</v>
      </c>
      <c r="B45" s="953"/>
      <c r="C45" s="953"/>
      <c r="D45" s="953"/>
      <c r="E45" s="954"/>
      <c r="F45" s="955"/>
      <c r="G45" s="955"/>
      <c r="H45" s="955"/>
      <c r="I45" s="955"/>
      <c r="O45" s="289">
        <f t="shared" ca="1" si="3"/>
        <v>1</v>
      </c>
      <c r="AA45" s="55" t="str">
        <f t="shared" ca="1" si="2"/>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7">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Januar 2024</v>
      </c>
      <c r="I51" s="63"/>
      <c r="J51" s="63"/>
      <c r="K51" s="63"/>
      <c r="L51" s="63"/>
      <c r="M51" s="55">
        <v>2</v>
      </c>
      <c r="N51" s="87"/>
      <c r="P51" s="313">
        <f t="shared" si="7"/>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7"/>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7"/>
        <v>0</v>
      </c>
      <c r="AH53" s="137"/>
      <c r="AM53" s="55"/>
      <c r="AO53" s="55"/>
      <c r="AQ53" s="55"/>
      <c r="BS53" s="137"/>
    </row>
    <row r="54" spans="1:71" x14ac:dyDescent="0.25">
      <c r="A54" s="63"/>
      <c r="B54" s="63"/>
      <c r="C54" s="63"/>
      <c r="D54" s="63"/>
      <c r="E54" s="63"/>
      <c r="F54" s="63"/>
      <c r="G54" s="63"/>
      <c r="I54" s="63"/>
      <c r="J54" s="63"/>
      <c r="K54" s="63"/>
      <c r="L54" s="63"/>
      <c r="M54" s="55">
        <v>5</v>
      </c>
      <c r="P54" s="313">
        <f t="shared" si="7"/>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7"/>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7"/>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7"/>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7"/>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7"/>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7"/>
        <v>0</v>
      </c>
      <c r="AH60" s="137"/>
      <c r="AM60" s="55"/>
      <c r="AO60" s="55"/>
      <c r="AQ60" s="55"/>
      <c r="BS60" s="137"/>
    </row>
    <row r="61" spans="1:71" x14ac:dyDescent="0.25">
      <c r="A61" s="63" t="str">
        <f t="shared" ref="A61:A92" ca="1" si="8">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7"/>
        <v>0</v>
      </c>
      <c r="AH61" s="137"/>
      <c r="AM61" s="55"/>
      <c r="AO61" s="55"/>
      <c r="AQ61" s="55"/>
      <c r="BS61" s="137"/>
    </row>
    <row r="62" spans="1:71" x14ac:dyDescent="0.25">
      <c r="A62" s="63" t="str">
        <f t="shared" ca="1" si="8"/>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7"/>
        <v>0</v>
      </c>
      <c r="AH62" s="137"/>
      <c r="AM62" s="55"/>
      <c r="AO62" s="55"/>
      <c r="AQ62" s="55"/>
      <c r="BS62" s="137"/>
    </row>
    <row r="63" spans="1:71" ht="42.75" customHeight="1" x14ac:dyDescent="0.25">
      <c r="A63" s="190" t="str">
        <f t="shared" ca="1" si="8"/>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7"/>
        <v>B</v>
      </c>
      <c r="AH63" s="137"/>
      <c r="AM63" s="55"/>
      <c r="AO63" s="55"/>
      <c r="AQ63" s="55"/>
      <c r="BS63" s="137"/>
    </row>
    <row r="64" spans="1:71" x14ac:dyDescent="0.25">
      <c r="A64" s="940">
        <f t="shared" ca="1" si="8"/>
        <v>0</v>
      </c>
      <c r="B64" s="940"/>
      <c r="C64" s="940"/>
      <c r="D64" s="940"/>
      <c r="E64" s="940"/>
      <c r="F64" s="940"/>
      <c r="G64" s="940"/>
      <c r="H64" s="587" t="str">
        <f t="shared" ref="H64:H95" ca="1" si="9">IF(ISERROR(INDEX(G$359:G$457,VLOOKUP(ROW(G64)-ROW(G$49),$J$359:$K$457,2,0),0)),"",IF(INDEX(G$359:G$457,VLOOKUP(ROW(G64)-ROW(G$49),$J$359:$K$457,2,0),0)=0,"",INDEX(G$359:G$457,VLOOKUP(ROW(G64)-ROW(G$49),$J$359:$K$457,2,0),0)))</f>
        <v/>
      </c>
      <c r="I64" s="454">
        <f t="shared" ref="I64:J83" ca="1" si="10">IF(ISERROR(INDEX(H$359:H$457,VLOOKUP(ROW(H64)-ROW(H$49),$J$359:$K$457,2,0),0)),"",INDEX(H$359:H$457,VLOOKUP(ROW(H64)-ROW(H$49),$J$359:$K$457,2,0),0))</f>
        <v>0</v>
      </c>
      <c r="J64" s="454">
        <f t="shared" ca="1" si="10"/>
        <v>0</v>
      </c>
      <c r="K64" s="63"/>
      <c r="L64" s="63"/>
      <c r="M64" s="55">
        <v>15</v>
      </c>
      <c r="N64" s="87"/>
      <c r="P64" s="313">
        <f t="shared" ca="1" si="7"/>
        <v>0</v>
      </c>
      <c r="AH64" s="137"/>
      <c r="AM64" s="55"/>
      <c r="AO64" s="55"/>
      <c r="AQ64" s="55"/>
      <c r="BS64" s="137"/>
    </row>
    <row r="65" spans="1:71" x14ac:dyDescent="0.25">
      <c r="A65" s="924" t="str">
        <f t="shared" ca="1" si="8"/>
        <v>Bruttolohn</v>
      </c>
      <c r="B65" s="924"/>
      <c r="C65" s="924"/>
      <c r="D65" s="924"/>
      <c r="E65" s="924"/>
      <c r="F65" s="924"/>
      <c r="G65" s="924"/>
      <c r="H65" s="587" t="str">
        <f t="shared" ca="1" si="9"/>
        <v/>
      </c>
      <c r="I65" s="454">
        <f t="shared" ca="1" si="10"/>
        <v>0</v>
      </c>
      <c r="J65" s="454">
        <f t="shared" ca="1" si="10"/>
        <v>0</v>
      </c>
      <c r="K65" s="63"/>
      <c r="L65" s="63"/>
      <c r="M65" s="55">
        <v>16</v>
      </c>
      <c r="P65" s="313" t="str">
        <f t="shared" ca="1" si="7"/>
        <v>BG</v>
      </c>
      <c r="AH65" s="137"/>
      <c r="AM65" s="55"/>
      <c r="AO65" s="55"/>
      <c r="AQ65" s="55"/>
      <c r="BS65" s="137"/>
    </row>
    <row r="66" spans="1:71" x14ac:dyDescent="0.25">
      <c r="A66" s="924">
        <f t="shared" ca="1" si="8"/>
        <v>0</v>
      </c>
      <c r="B66" s="924"/>
      <c r="C66" s="924"/>
      <c r="D66" s="924"/>
      <c r="E66" s="924"/>
      <c r="F66" s="924"/>
      <c r="G66" s="924"/>
      <c r="H66" s="587" t="str">
        <f t="shared" ca="1" si="9"/>
        <v/>
      </c>
      <c r="I66" s="454">
        <f t="shared" ca="1" si="10"/>
        <v>0</v>
      </c>
      <c r="J66" s="454">
        <f t="shared" ca="1" si="10"/>
        <v>0</v>
      </c>
      <c r="K66" s="63"/>
      <c r="L66" s="63"/>
      <c r="M66" s="55">
        <v>17</v>
      </c>
      <c r="P66" s="313">
        <f t="shared" ca="1" si="7"/>
        <v>0</v>
      </c>
      <c r="AH66" s="137"/>
      <c r="AM66" s="55"/>
      <c r="AO66" s="55"/>
      <c r="AQ66" s="55"/>
      <c r="BS66" s="137"/>
    </row>
    <row r="67" spans="1:71" x14ac:dyDescent="0.25">
      <c r="A67" s="924" t="str">
        <f t="shared" ca="1" si="8"/>
        <v>Sozialversicherungsabzüge</v>
      </c>
      <c r="B67" s="924"/>
      <c r="C67" s="924"/>
      <c r="D67" s="924"/>
      <c r="E67" s="924"/>
      <c r="F67" s="924"/>
      <c r="G67" s="924"/>
      <c r="H67" s="587" t="str">
        <f t="shared" ca="1" si="9"/>
        <v/>
      </c>
      <c r="I67" s="454">
        <f t="shared" ca="1" si="10"/>
        <v>0</v>
      </c>
      <c r="J67" s="454">
        <f t="shared" ca="1" si="10"/>
        <v>0</v>
      </c>
      <c r="K67" s="63"/>
      <c r="L67" s="63"/>
      <c r="M67" s="55">
        <v>18</v>
      </c>
      <c r="P67" s="313" t="str">
        <f t="shared" ca="1" si="7"/>
        <v>B</v>
      </c>
      <c r="AH67" s="137"/>
      <c r="AM67" s="55"/>
      <c r="AO67" s="55"/>
      <c r="AQ67" s="55"/>
      <c r="BS67" s="137"/>
    </row>
    <row r="68" spans="1:71" x14ac:dyDescent="0.25">
      <c r="A68" s="924">
        <f t="shared" ca="1" si="8"/>
        <v>0</v>
      </c>
      <c r="B68" s="924"/>
      <c r="C68" s="924"/>
      <c r="D68" s="924"/>
      <c r="E68" s="924"/>
      <c r="F68" s="924"/>
      <c r="G68" s="924"/>
      <c r="H68" s="587" t="str">
        <f t="shared" ca="1" si="9"/>
        <v/>
      </c>
      <c r="I68" s="454">
        <f t="shared" ca="1" si="10"/>
        <v>0</v>
      </c>
      <c r="J68" s="454">
        <f t="shared" ca="1" si="10"/>
        <v>0</v>
      </c>
      <c r="K68" s="63"/>
      <c r="L68" s="63"/>
      <c r="M68" s="55">
        <v>19</v>
      </c>
      <c r="P68" s="313">
        <f t="shared" ca="1" si="7"/>
        <v>0</v>
      </c>
      <c r="AH68" s="137"/>
      <c r="AM68" s="55"/>
      <c r="AO68" s="55"/>
      <c r="AQ68" s="55"/>
      <c r="BS68" s="137"/>
    </row>
    <row r="69" spans="1:71" x14ac:dyDescent="0.25">
      <c r="A69" s="924" t="str">
        <f t="shared" ca="1" si="8"/>
        <v>Total Abzüge</v>
      </c>
      <c r="B69" s="924"/>
      <c r="C69" s="924"/>
      <c r="D69" s="924"/>
      <c r="E69" s="924"/>
      <c r="F69" s="924"/>
      <c r="G69" s="924"/>
      <c r="H69" s="587" t="str">
        <f t="shared" ca="1" si="9"/>
        <v/>
      </c>
      <c r="I69" s="454">
        <f t="shared" ca="1" si="10"/>
        <v>0</v>
      </c>
      <c r="J69" s="454">
        <f t="shared" ca="1" si="10"/>
        <v>0</v>
      </c>
      <c r="K69" s="63"/>
      <c r="L69" s="63"/>
      <c r="M69" s="55">
        <v>20</v>
      </c>
      <c r="P69" s="313" t="str">
        <f t="shared" ca="1" si="7"/>
        <v>B</v>
      </c>
      <c r="AH69" s="137"/>
      <c r="AM69" s="55"/>
      <c r="AO69" s="55"/>
      <c r="AQ69" s="55"/>
      <c r="BS69" s="137"/>
    </row>
    <row r="70" spans="1:71" x14ac:dyDescent="0.25">
      <c r="A70" s="924">
        <f t="shared" ca="1" si="8"/>
        <v>0</v>
      </c>
      <c r="B70" s="924"/>
      <c r="C70" s="924"/>
      <c r="D70" s="924"/>
      <c r="E70" s="924"/>
      <c r="F70" s="924"/>
      <c r="G70" s="924"/>
      <c r="H70" s="587" t="str">
        <f t="shared" ca="1" si="9"/>
        <v/>
      </c>
      <c r="I70" s="454">
        <f t="shared" ca="1" si="10"/>
        <v>0</v>
      </c>
      <c r="J70" s="454">
        <f t="shared" ca="1" si="10"/>
        <v>0</v>
      </c>
      <c r="K70" s="63"/>
      <c r="L70" s="63"/>
      <c r="M70" s="55">
        <v>21</v>
      </c>
      <c r="P70" s="313">
        <f t="shared" ca="1" si="7"/>
        <v>0</v>
      </c>
      <c r="AH70" s="137"/>
      <c r="AM70" s="55"/>
      <c r="AO70" s="55"/>
      <c r="AQ70" s="55"/>
      <c r="BS70" s="137"/>
    </row>
    <row r="71" spans="1:71" x14ac:dyDescent="0.25">
      <c r="A71" s="924" t="str">
        <f t="shared" ca="1" si="8"/>
        <v>Nettolohn</v>
      </c>
      <c r="B71" s="924"/>
      <c r="C71" s="924"/>
      <c r="D71" s="924"/>
      <c r="E71" s="924"/>
      <c r="F71" s="924"/>
      <c r="G71" s="924"/>
      <c r="H71" s="587" t="str">
        <f t="shared" ca="1" si="9"/>
        <v/>
      </c>
      <c r="I71" s="454">
        <f t="shared" ca="1" si="10"/>
        <v>0</v>
      </c>
      <c r="J71" s="454">
        <f t="shared" ca="1" si="10"/>
        <v>0</v>
      </c>
      <c r="K71" s="63"/>
      <c r="L71" s="63"/>
      <c r="M71" s="55">
        <v>22</v>
      </c>
      <c r="P71" s="313" t="str">
        <f t="shared" ca="1" si="7"/>
        <v>BG</v>
      </c>
      <c r="AH71" s="137"/>
      <c r="AM71" s="55"/>
      <c r="AO71" s="55"/>
      <c r="AQ71" s="55"/>
      <c r="BS71" s="137"/>
    </row>
    <row r="72" spans="1:71" x14ac:dyDescent="0.25">
      <c r="A72" s="924">
        <f t="shared" ca="1" si="8"/>
        <v>0</v>
      </c>
      <c r="B72" s="924"/>
      <c r="C72" s="924"/>
      <c r="D72" s="924"/>
      <c r="E72" s="924"/>
      <c r="F72" s="924"/>
      <c r="G72" s="924"/>
      <c r="H72" s="587" t="str">
        <f t="shared" ca="1" si="9"/>
        <v/>
      </c>
      <c r="I72" s="454">
        <f t="shared" ca="1" si="10"/>
        <v>0</v>
      </c>
      <c r="J72" s="454">
        <f t="shared" ca="1" si="10"/>
        <v>0</v>
      </c>
      <c r="K72" s="63"/>
      <c r="L72" s="63"/>
      <c r="M72" s="55">
        <v>23</v>
      </c>
      <c r="P72" s="313">
        <f t="shared" ca="1" si="7"/>
        <v>0</v>
      </c>
      <c r="AH72" s="137"/>
      <c r="AM72" s="55"/>
      <c r="AO72" s="55"/>
      <c r="AQ72" s="55"/>
      <c r="BS72" s="137"/>
    </row>
    <row r="73" spans="1:71" x14ac:dyDescent="0.25">
      <c r="A73" s="924" t="str">
        <f t="shared" ca="1" si="8"/>
        <v>Auszahlungsbetrag</v>
      </c>
      <c r="B73" s="924"/>
      <c r="C73" s="924"/>
      <c r="D73" s="924"/>
      <c r="E73" s="924"/>
      <c r="F73" s="924"/>
      <c r="G73" s="924"/>
      <c r="H73" s="587" t="str">
        <f t="shared" ca="1" si="9"/>
        <v/>
      </c>
      <c r="I73" s="454" t="str">
        <f t="shared" ca="1" si="10"/>
        <v>CHF</v>
      </c>
      <c r="J73" s="454">
        <f t="shared" ca="1" si="10"/>
        <v>0</v>
      </c>
      <c r="K73" s="63"/>
      <c r="L73" s="63"/>
      <c r="M73" s="55">
        <v>24</v>
      </c>
      <c r="P73" s="313" t="str">
        <f t="shared" ca="1" si="7"/>
        <v>BG</v>
      </c>
      <c r="AH73" s="137"/>
      <c r="AM73" s="55"/>
      <c r="AO73" s="55"/>
      <c r="AQ73" s="55"/>
      <c r="BS73" s="137"/>
    </row>
    <row r="74" spans="1:71" x14ac:dyDescent="0.25">
      <c r="A74" s="924">
        <f t="shared" ca="1" si="8"/>
        <v>0</v>
      </c>
      <c r="B74" s="924"/>
      <c r="C74" s="924"/>
      <c r="D74" s="924"/>
      <c r="E74" s="924"/>
      <c r="F74" s="924"/>
      <c r="G74" s="924"/>
      <c r="H74" s="587" t="str">
        <f t="shared" ca="1" si="9"/>
        <v/>
      </c>
      <c r="I74" s="454">
        <f t="shared" ca="1" si="10"/>
        <v>0</v>
      </c>
      <c r="J74" s="454">
        <f t="shared" ca="1" si="10"/>
        <v>0</v>
      </c>
      <c r="K74" s="63"/>
      <c r="L74" s="63"/>
      <c r="M74" s="55">
        <v>25</v>
      </c>
      <c r="P74" s="313">
        <f t="shared" ca="1" si="7"/>
        <v>0</v>
      </c>
      <c r="AH74" s="137"/>
      <c r="AM74" s="55"/>
      <c r="AO74" s="55"/>
      <c r="AQ74" s="55"/>
      <c r="BS74" s="137"/>
    </row>
    <row r="75" spans="1:71" x14ac:dyDescent="0.25">
      <c r="A75" s="924" t="str">
        <f t="shared" ca="1" si="8"/>
        <v>Der Betrag wird wie folgt überwiesen:</v>
      </c>
      <c r="B75" s="924"/>
      <c r="C75" s="924"/>
      <c r="D75" s="924"/>
      <c r="E75" s="924"/>
      <c r="F75" s="924"/>
      <c r="G75" s="924"/>
      <c r="H75" s="587" t="str">
        <f t="shared" ca="1" si="9"/>
        <v/>
      </c>
      <c r="I75" s="454">
        <f t="shared" ca="1" si="10"/>
        <v>0</v>
      </c>
      <c r="J75" s="454">
        <f t="shared" ca="1" si="10"/>
        <v>0</v>
      </c>
      <c r="K75" s="63"/>
      <c r="L75" s="63"/>
      <c r="M75" s="55">
        <v>26</v>
      </c>
      <c r="P75" s="313">
        <f t="shared" ca="1" si="7"/>
        <v>0</v>
      </c>
      <c r="AH75" s="137"/>
      <c r="AM75" s="55"/>
      <c r="AO75" s="55"/>
      <c r="AQ75" s="55"/>
      <c r="BS75" s="137"/>
    </row>
    <row r="76" spans="1:71" x14ac:dyDescent="0.25">
      <c r="A76" s="924" t="str">
        <f t="shared" ca="1" si="8"/>
        <v xml:space="preserve">; </v>
      </c>
      <c r="B76" s="924"/>
      <c r="C76" s="924"/>
      <c r="D76" s="924"/>
      <c r="E76" s="924"/>
      <c r="F76" s="924"/>
      <c r="G76" s="924"/>
      <c r="H76" s="587" t="str">
        <f t="shared" ca="1" si="9"/>
        <v/>
      </c>
      <c r="I76" s="454">
        <f t="shared" ca="1" si="10"/>
        <v>0</v>
      </c>
      <c r="J76" s="454">
        <f t="shared" ca="1" si="10"/>
        <v>0</v>
      </c>
      <c r="K76" s="63"/>
      <c r="L76" s="63"/>
      <c r="M76" s="55">
        <v>27</v>
      </c>
      <c r="P76" s="313">
        <f t="shared" ca="1" si="7"/>
        <v>0</v>
      </c>
      <c r="AH76" s="137"/>
      <c r="AM76" s="55"/>
      <c r="AO76" s="55"/>
      <c r="AQ76" s="55"/>
      <c r="BS76" s="137"/>
    </row>
    <row r="77" spans="1:71" x14ac:dyDescent="0.25">
      <c r="A77" s="924">
        <f t="shared" ca="1" si="8"/>
        <v>0</v>
      </c>
      <c r="B77" s="924"/>
      <c r="C77" s="924"/>
      <c r="D77" s="924"/>
      <c r="E77" s="924"/>
      <c r="F77" s="924"/>
      <c r="G77" s="924"/>
      <c r="H77" s="587" t="str">
        <f t="shared" ca="1" si="9"/>
        <v/>
      </c>
      <c r="I77" s="454">
        <f t="shared" ca="1" si="10"/>
        <v>0</v>
      </c>
      <c r="J77" s="454">
        <f t="shared" ca="1" si="10"/>
        <v>0</v>
      </c>
      <c r="K77" s="63"/>
      <c r="L77" s="63"/>
      <c r="M77" s="55">
        <v>28</v>
      </c>
      <c r="P77" s="313">
        <f t="shared" ca="1" si="7"/>
        <v>0</v>
      </c>
      <c r="AH77" s="137"/>
      <c r="AM77" s="55"/>
      <c r="AO77" s="55"/>
      <c r="AQ77" s="55"/>
      <c r="BS77" s="137"/>
    </row>
    <row r="78" spans="1:71" x14ac:dyDescent="0.25">
      <c r="A78" s="924" t="str">
        <f t="shared" ca="1" si="8"/>
        <v xml:space="preserve">Bitte Lohnabrechnung sofort überprüfen und Unstimmigkeiten melden. </v>
      </c>
      <c r="B78" s="924"/>
      <c r="C78" s="924"/>
      <c r="D78" s="924"/>
      <c r="E78" s="924"/>
      <c r="F78" s="924"/>
      <c r="G78" s="924"/>
      <c r="H78" s="587" t="str">
        <f t="shared" ca="1" si="9"/>
        <v/>
      </c>
      <c r="I78" s="454">
        <f t="shared" ca="1" si="10"/>
        <v>0</v>
      </c>
      <c r="J78" s="454">
        <f t="shared" ca="1" si="10"/>
        <v>0</v>
      </c>
      <c r="K78" s="63"/>
      <c r="L78" s="63"/>
      <c r="M78" s="55">
        <v>29</v>
      </c>
      <c r="P78" s="313">
        <f t="shared" ca="1" si="7"/>
        <v>0</v>
      </c>
      <c r="AH78" s="137"/>
      <c r="AM78" s="55"/>
      <c r="AO78" s="55"/>
      <c r="AQ78" s="55"/>
      <c r="BS78" s="137"/>
    </row>
    <row r="79" spans="1:71" x14ac:dyDescent="0.25">
      <c r="A79" s="924" t="str">
        <f t="shared" ca="1" si="8"/>
        <v xml:space="preserve">Danke. </v>
      </c>
      <c r="B79" s="924"/>
      <c r="C79" s="924"/>
      <c r="D79" s="924"/>
      <c r="E79" s="924"/>
      <c r="F79" s="924"/>
      <c r="G79" s="924"/>
      <c r="H79" s="587" t="str">
        <f t="shared" ca="1" si="9"/>
        <v/>
      </c>
      <c r="I79" s="454">
        <f t="shared" ca="1" si="10"/>
        <v>0</v>
      </c>
      <c r="J79" s="454">
        <f t="shared" ca="1" si="10"/>
        <v>0</v>
      </c>
      <c r="K79" s="63"/>
      <c r="L79" s="63"/>
      <c r="M79" s="55">
        <v>30</v>
      </c>
      <c r="P79" s="313">
        <f t="shared" ca="1" si="7"/>
        <v>0</v>
      </c>
      <c r="AH79" s="137"/>
      <c r="AM79" s="55"/>
      <c r="AO79" s="55"/>
      <c r="AQ79" s="55"/>
      <c r="BS79" s="137"/>
    </row>
    <row r="80" spans="1:71" x14ac:dyDescent="0.25">
      <c r="A80" s="924" t="str">
        <f t="shared" ca="1" si="8"/>
        <v/>
      </c>
      <c r="B80" s="924"/>
      <c r="C80" s="924"/>
      <c r="D80" s="924"/>
      <c r="E80" s="924"/>
      <c r="F80" s="924"/>
      <c r="G80" s="924"/>
      <c r="H80" s="587" t="str">
        <f t="shared" ca="1" si="9"/>
        <v/>
      </c>
      <c r="I80" s="454" t="str">
        <f t="shared" ca="1" si="10"/>
        <v/>
      </c>
      <c r="J80" s="454" t="str">
        <f t="shared" ca="1" si="10"/>
        <v/>
      </c>
      <c r="K80" s="63"/>
      <c r="L80" s="63"/>
      <c r="M80" s="55">
        <v>31</v>
      </c>
      <c r="P80" s="313" t="str">
        <f t="shared" ca="1" si="7"/>
        <v/>
      </c>
      <c r="AH80" s="137"/>
      <c r="AM80" s="55"/>
      <c r="AO80" s="55"/>
      <c r="AQ80" s="55"/>
      <c r="BS80" s="137"/>
    </row>
    <row r="81" spans="1:71" x14ac:dyDescent="0.25">
      <c r="A81" s="924" t="str">
        <f t="shared" ca="1" si="8"/>
        <v/>
      </c>
      <c r="B81" s="924"/>
      <c r="C81" s="924"/>
      <c r="D81" s="924"/>
      <c r="E81" s="924"/>
      <c r="F81" s="924"/>
      <c r="G81" s="924"/>
      <c r="H81" s="587" t="str">
        <f t="shared" ca="1" si="9"/>
        <v/>
      </c>
      <c r="I81" s="454" t="str">
        <f t="shared" ca="1" si="10"/>
        <v/>
      </c>
      <c r="J81" s="454" t="str">
        <f t="shared" ca="1" si="10"/>
        <v/>
      </c>
      <c r="K81" s="63"/>
      <c r="L81" s="63"/>
      <c r="M81" s="55">
        <v>32</v>
      </c>
      <c r="P81" s="313" t="str">
        <f t="shared" ca="1" si="7"/>
        <v/>
      </c>
      <c r="AH81" s="137"/>
      <c r="AM81" s="55"/>
      <c r="AO81" s="55"/>
      <c r="AQ81" s="55"/>
      <c r="BS81" s="137"/>
    </row>
    <row r="82" spans="1:71" x14ac:dyDescent="0.25">
      <c r="A82" s="924" t="str">
        <f t="shared" ca="1" si="8"/>
        <v/>
      </c>
      <c r="B82" s="924"/>
      <c r="C82" s="924"/>
      <c r="D82" s="924"/>
      <c r="E82" s="924"/>
      <c r="F82" s="924"/>
      <c r="G82" s="924"/>
      <c r="H82" s="587" t="str">
        <f t="shared" ca="1" si="9"/>
        <v/>
      </c>
      <c r="I82" s="454" t="str">
        <f t="shared" ca="1" si="10"/>
        <v/>
      </c>
      <c r="J82" s="454" t="str">
        <f t="shared" ca="1" si="10"/>
        <v/>
      </c>
      <c r="K82" s="63"/>
      <c r="L82" s="63"/>
      <c r="M82" s="55">
        <v>33</v>
      </c>
      <c r="P82" s="313" t="str">
        <f t="shared" ref="P82:P113" ca="1" si="11">IF(ISERROR(INDEX(L$359:L$457,VLOOKUP(ROW(P82)-ROW(P$49),$J$359:$K$457,2,0),0)),"",INDEX(L$359:L$457,VLOOKUP(ROW(P82)-ROW(P$49),$J$359:$K$457,2,0),0))</f>
        <v/>
      </c>
      <c r="AH82" s="137"/>
      <c r="AM82" s="55"/>
      <c r="AO82" s="55"/>
      <c r="AQ82" s="55"/>
      <c r="BS82" s="137"/>
    </row>
    <row r="83" spans="1:71" x14ac:dyDescent="0.25">
      <c r="A83" s="924" t="str">
        <f t="shared" ca="1" si="8"/>
        <v/>
      </c>
      <c r="B83" s="924"/>
      <c r="C83" s="924"/>
      <c r="D83" s="924"/>
      <c r="E83" s="924"/>
      <c r="F83" s="924"/>
      <c r="G83" s="924"/>
      <c r="H83" s="587" t="str">
        <f t="shared" ca="1" si="9"/>
        <v/>
      </c>
      <c r="I83" s="454" t="str">
        <f t="shared" ca="1" si="10"/>
        <v/>
      </c>
      <c r="J83" s="454" t="str">
        <f t="shared" ca="1" si="10"/>
        <v/>
      </c>
      <c r="K83" s="63"/>
      <c r="L83" s="63"/>
      <c r="M83" s="55">
        <v>34</v>
      </c>
      <c r="P83" s="313" t="str">
        <f t="shared" ca="1" si="11"/>
        <v/>
      </c>
      <c r="AH83" s="137"/>
      <c r="AM83" s="55"/>
      <c r="AO83" s="55"/>
      <c r="AQ83" s="55"/>
      <c r="BS83" s="137"/>
    </row>
    <row r="84" spans="1:71" x14ac:dyDescent="0.25">
      <c r="A84" s="924" t="str">
        <f t="shared" ca="1" si="8"/>
        <v/>
      </c>
      <c r="B84" s="924"/>
      <c r="C84" s="924"/>
      <c r="D84" s="924"/>
      <c r="E84" s="924"/>
      <c r="F84" s="924"/>
      <c r="G84" s="924"/>
      <c r="H84" s="587" t="str">
        <f t="shared" ca="1" si="9"/>
        <v/>
      </c>
      <c r="I84" s="454" t="str">
        <f t="shared" ref="I84:J103" ca="1" si="12">IF(ISERROR(INDEX(H$359:H$457,VLOOKUP(ROW(H84)-ROW(H$49),$J$359:$K$457,2,0),0)),"",INDEX(H$359:H$457,VLOOKUP(ROW(H84)-ROW(H$49),$J$359:$K$457,2,0),0))</f>
        <v/>
      </c>
      <c r="J84" s="454" t="str">
        <f t="shared" ca="1" si="12"/>
        <v/>
      </c>
      <c r="K84" s="63"/>
      <c r="L84" s="63"/>
      <c r="M84" s="55">
        <v>35</v>
      </c>
      <c r="P84" s="313" t="str">
        <f t="shared" ca="1" si="11"/>
        <v/>
      </c>
      <c r="AH84" s="137"/>
      <c r="AM84" s="55"/>
      <c r="AO84" s="55"/>
      <c r="AQ84" s="55"/>
      <c r="BS84" s="137"/>
    </row>
    <row r="85" spans="1:71" x14ac:dyDescent="0.25">
      <c r="A85" s="924" t="str">
        <f t="shared" ca="1" si="8"/>
        <v/>
      </c>
      <c r="B85" s="924"/>
      <c r="C85" s="924"/>
      <c r="D85" s="924"/>
      <c r="E85" s="924"/>
      <c r="F85" s="924"/>
      <c r="G85" s="924"/>
      <c r="H85" s="587" t="str">
        <f t="shared" ca="1" si="9"/>
        <v/>
      </c>
      <c r="I85" s="454" t="str">
        <f t="shared" ca="1" si="12"/>
        <v/>
      </c>
      <c r="J85" s="454" t="str">
        <f t="shared" ca="1" si="12"/>
        <v/>
      </c>
      <c r="K85" s="63"/>
      <c r="L85" s="63"/>
      <c r="M85" s="55">
        <v>36</v>
      </c>
      <c r="P85" s="313" t="str">
        <f t="shared" ca="1" si="11"/>
        <v/>
      </c>
      <c r="AH85" s="137"/>
      <c r="AM85" s="55"/>
      <c r="AO85" s="55"/>
      <c r="AQ85" s="55"/>
      <c r="BS85" s="137"/>
    </row>
    <row r="86" spans="1:71" x14ac:dyDescent="0.25">
      <c r="A86" s="924" t="str">
        <f t="shared" ca="1" si="8"/>
        <v/>
      </c>
      <c r="B86" s="924"/>
      <c r="C86" s="924"/>
      <c r="D86" s="924"/>
      <c r="E86" s="924"/>
      <c r="F86" s="924"/>
      <c r="G86" s="924"/>
      <c r="H86" s="587" t="str">
        <f t="shared" ca="1" si="9"/>
        <v/>
      </c>
      <c r="I86" s="454" t="str">
        <f t="shared" ca="1" si="12"/>
        <v/>
      </c>
      <c r="J86" s="454" t="str">
        <f t="shared" ca="1" si="12"/>
        <v/>
      </c>
      <c r="K86" s="63"/>
      <c r="L86" s="63"/>
      <c r="M86" s="55">
        <v>37</v>
      </c>
      <c r="P86" s="313" t="str">
        <f t="shared" ca="1" si="11"/>
        <v/>
      </c>
      <c r="AH86" s="137"/>
      <c r="AM86" s="55"/>
      <c r="AO86" s="55"/>
      <c r="AQ86" s="55"/>
      <c r="BS86" s="137"/>
    </row>
    <row r="87" spans="1:71" x14ac:dyDescent="0.25">
      <c r="A87" s="924" t="str">
        <f t="shared" ca="1" si="8"/>
        <v/>
      </c>
      <c r="B87" s="924"/>
      <c r="C87" s="924"/>
      <c r="D87" s="924"/>
      <c r="E87" s="924"/>
      <c r="F87" s="924"/>
      <c r="G87" s="924"/>
      <c r="H87" s="587" t="str">
        <f t="shared" ca="1" si="9"/>
        <v/>
      </c>
      <c r="I87" s="454" t="str">
        <f t="shared" ca="1" si="12"/>
        <v/>
      </c>
      <c r="J87" s="454" t="str">
        <f t="shared" ca="1" si="12"/>
        <v/>
      </c>
      <c r="K87" s="63"/>
      <c r="L87" s="63"/>
      <c r="M87" s="55">
        <v>38</v>
      </c>
      <c r="P87" s="313" t="str">
        <f t="shared" ca="1" si="11"/>
        <v/>
      </c>
      <c r="AH87" s="137"/>
      <c r="AM87" s="55"/>
      <c r="AO87" s="55"/>
      <c r="AQ87" s="55"/>
      <c r="BS87" s="137"/>
    </row>
    <row r="88" spans="1:71" x14ac:dyDescent="0.25">
      <c r="A88" s="924" t="str">
        <f t="shared" ca="1" si="8"/>
        <v/>
      </c>
      <c r="B88" s="924"/>
      <c r="C88" s="924"/>
      <c r="D88" s="924"/>
      <c r="E88" s="924"/>
      <c r="F88" s="924"/>
      <c r="G88" s="924"/>
      <c r="H88" s="587" t="str">
        <f t="shared" ca="1" si="9"/>
        <v/>
      </c>
      <c r="I88" s="454" t="str">
        <f t="shared" ca="1" si="12"/>
        <v/>
      </c>
      <c r="J88" s="454" t="str">
        <f t="shared" ca="1" si="12"/>
        <v/>
      </c>
      <c r="K88" s="63"/>
      <c r="L88" s="63"/>
      <c r="M88" s="55">
        <v>39</v>
      </c>
      <c r="P88" s="313" t="str">
        <f t="shared" ca="1" si="11"/>
        <v/>
      </c>
      <c r="AH88" s="137"/>
      <c r="AM88" s="55"/>
      <c r="AO88" s="55"/>
      <c r="AQ88" s="55"/>
      <c r="BS88" s="137"/>
    </row>
    <row r="89" spans="1:71" x14ac:dyDescent="0.25">
      <c r="A89" s="924" t="str">
        <f t="shared" ca="1" si="8"/>
        <v/>
      </c>
      <c r="B89" s="924"/>
      <c r="C89" s="924"/>
      <c r="D89" s="924"/>
      <c r="E89" s="924"/>
      <c r="F89" s="924"/>
      <c r="G89" s="924"/>
      <c r="H89" s="587" t="str">
        <f t="shared" ca="1" si="9"/>
        <v/>
      </c>
      <c r="I89" s="454" t="str">
        <f t="shared" ca="1" si="12"/>
        <v/>
      </c>
      <c r="J89" s="454" t="str">
        <f t="shared" ca="1" si="12"/>
        <v/>
      </c>
      <c r="K89" s="63"/>
      <c r="L89" s="63"/>
      <c r="M89" s="55">
        <v>40</v>
      </c>
      <c r="P89" s="313" t="str">
        <f t="shared" ca="1" si="11"/>
        <v/>
      </c>
      <c r="AH89" s="137"/>
      <c r="AM89" s="55"/>
      <c r="AO89" s="55"/>
      <c r="AQ89" s="55"/>
      <c r="BS89" s="137"/>
    </row>
    <row r="90" spans="1:71" x14ac:dyDescent="0.25">
      <c r="A90" s="924" t="str">
        <f t="shared" ca="1" si="8"/>
        <v/>
      </c>
      <c r="B90" s="924"/>
      <c r="C90" s="924"/>
      <c r="D90" s="924"/>
      <c r="E90" s="924"/>
      <c r="F90" s="924"/>
      <c r="G90" s="924"/>
      <c r="H90" s="587" t="str">
        <f t="shared" ca="1" si="9"/>
        <v/>
      </c>
      <c r="I90" s="454" t="str">
        <f t="shared" ca="1" si="12"/>
        <v/>
      </c>
      <c r="J90" s="454" t="str">
        <f t="shared" ca="1" si="12"/>
        <v/>
      </c>
      <c r="K90" s="63"/>
      <c r="L90" s="63"/>
      <c r="M90" s="55">
        <v>41</v>
      </c>
      <c r="P90" s="313" t="str">
        <f t="shared" ca="1" si="11"/>
        <v/>
      </c>
      <c r="AH90" s="137"/>
      <c r="AM90" s="55"/>
      <c r="AO90" s="55"/>
      <c r="AQ90" s="55"/>
      <c r="BS90" s="137"/>
    </row>
    <row r="91" spans="1:71" x14ac:dyDescent="0.25">
      <c r="A91" s="924" t="str">
        <f t="shared" ca="1" si="8"/>
        <v/>
      </c>
      <c r="B91" s="924"/>
      <c r="C91" s="924"/>
      <c r="D91" s="924"/>
      <c r="E91" s="924"/>
      <c r="F91" s="924"/>
      <c r="G91" s="924"/>
      <c r="H91" s="587" t="str">
        <f t="shared" ca="1" si="9"/>
        <v/>
      </c>
      <c r="I91" s="454" t="str">
        <f t="shared" ca="1" si="12"/>
        <v/>
      </c>
      <c r="J91" s="454" t="str">
        <f t="shared" ca="1" si="12"/>
        <v/>
      </c>
      <c r="K91" s="63"/>
      <c r="L91" s="63"/>
      <c r="M91" s="55">
        <v>42</v>
      </c>
      <c r="P91" s="313" t="str">
        <f t="shared" ca="1" si="11"/>
        <v/>
      </c>
      <c r="AH91" s="137"/>
      <c r="AM91" s="55"/>
      <c r="AO91" s="55"/>
      <c r="AQ91" s="55"/>
      <c r="BS91" s="137"/>
    </row>
    <row r="92" spans="1:71" x14ac:dyDescent="0.25">
      <c r="A92" s="924" t="str">
        <f t="shared" ca="1" si="8"/>
        <v/>
      </c>
      <c r="B92" s="924"/>
      <c r="C92" s="924"/>
      <c r="D92" s="924"/>
      <c r="E92" s="924"/>
      <c r="F92" s="924"/>
      <c r="G92" s="924"/>
      <c r="H92" s="587" t="str">
        <f t="shared" ca="1" si="9"/>
        <v/>
      </c>
      <c r="I92" s="454" t="str">
        <f t="shared" ca="1" si="12"/>
        <v/>
      </c>
      <c r="J92" s="454" t="str">
        <f t="shared" ca="1" si="12"/>
        <v/>
      </c>
      <c r="K92" s="63"/>
      <c r="L92" s="63"/>
      <c r="M92" s="55">
        <v>43</v>
      </c>
      <c r="P92" s="313" t="str">
        <f t="shared" ca="1" si="11"/>
        <v/>
      </c>
      <c r="AH92" s="137"/>
      <c r="AM92" s="55"/>
      <c r="AO92" s="55"/>
      <c r="AQ92" s="55"/>
      <c r="BS92" s="137"/>
    </row>
    <row r="93" spans="1:71" x14ac:dyDescent="0.25">
      <c r="A93" s="924" t="str">
        <f t="shared" ref="A93:A124" ca="1" si="13">IF(ISERROR(INDEX(A$359:A$457,VLOOKUP(ROW(A93)-ROW(A$49),$J$359:$K$457,2,0),0)),"",INDEX(A$359:A$457,VLOOKUP(ROW(A93)-ROW(A$49),$J$359:$K$457,2,0),0))</f>
        <v/>
      </c>
      <c r="B93" s="924"/>
      <c r="C93" s="924"/>
      <c r="D93" s="924"/>
      <c r="E93" s="924"/>
      <c r="F93" s="924"/>
      <c r="G93" s="924"/>
      <c r="H93" s="587" t="str">
        <f t="shared" ca="1" si="9"/>
        <v/>
      </c>
      <c r="I93" s="454" t="str">
        <f t="shared" ca="1" si="12"/>
        <v/>
      </c>
      <c r="J93" s="454" t="str">
        <f t="shared" ca="1" si="12"/>
        <v/>
      </c>
      <c r="K93" s="63"/>
      <c r="L93" s="63"/>
      <c r="M93" s="55">
        <v>44</v>
      </c>
      <c r="P93" s="313" t="str">
        <f t="shared" ca="1" si="11"/>
        <v/>
      </c>
      <c r="AH93" s="137"/>
      <c r="AM93" s="55"/>
      <c r="AO93" s="55"/>
      <c r="AQ93" s="55"/>
      <c r="BS93" s="137"/>
    </row>
    <row r="94" spans="1:71" x14ac:dyDescent="0.25">
      <c r="A94" s="924" t="str">
        <f t="shared" ca="1" si="13"/>
        <v/>
      </c>
      <c r="B94" s="924"/>
      <c r="C94" s="924"/>
      <c r="D94" s="924"/>
      <c r="E94" s="924"/>
      <c r="F94" s="924"/>
      <c r="G94" s="924"/>
      <c r="H94" s="587" t="str">
        <f t="shared" ca="1" si="9"/>
        <v/>
      </c>
      <c r="I94" s="454" t="str">
        <f t="shared" ca="1" si="12"/>
        <v/>
      </c>
      <c r="J94" s="454" t="str">
        <f t="shared" ca="1" si="12"/>
        <v/>
      </c>
      <c r="K94" s="63"/>
      <c r="L94" s="63"/>
      <c r="M94" s="55">
        <v>45</v>
      </c>
      <c r="N94" s="87"/>
      <c r="P94" s="313" t="str">
        <f t="shared" ca="1" si="11"/>
        <v/>
      </c>
      <c r="AH94" s="137"/>
      <c r="AM94" s="55"/>
      <c r="AO94" s="55"/>
      <c r="AQ94" s="55"/>
      <c r="BS94" s="137"/>
    </row>
    <row r="95" spans="1:71" x14ac:dyDescent="0.25">
      <c r="A95" s="924" t="str">
        <f t="shared" ca="1" si="13"/>
        <v/>
      </c>
      <c r="B95" s="924"/>
      <c r="C95" s="924"/>
      <c r="D95" s="924"/>
      <c r="E95" s="924"/>
      <c r="F95" s="924"/>
      <c r="G95" s="924"/>
      <c r="H95" s="587" t="str">
        <f t="shared" ca="1" si="9"/>
        <v/>
      </c>
      <c r="I95" s="454" t="str">
        <f t="shared" ca="1" si="12"/>
        <v/>
      </c>
      <c r="J95" s="454" t="str">
        <f t="shared" ca="1" si="12"/>
        <v/>
      </c>
      <c r="K95" s="63"/>
      <c r="L95" s="63"/>
      <c r="M95" s="55">
        <v>46</v>
      </c>
      <c r="P95" s="313" t="str">
        <f t="shared" ca="1" si="11"/>
        <v/>
      </c>
      <c r="AH95" s="137"/>
      <c r="AM95" s="55"/>
      <c r="AO95" s="55"/>
      <c r="AQ95" s="55"/>
      <c r="BS95" s="137"/>
    </row>
    <row r="96" spans="1:71" x14ac:dyDescent="0.25">
      <c r="A96" s="924" t="str">
        <f t="shared" ca="1" si="13"/>
        <v/>
      </c>
      <c r="B96" s="924"/>
      <c r="C96" s="924"/>
      <c r="D96" s="924"/>
      <c r="E96" s="924"/>
      <c r="F96" s="924"/>
      <c r="G96" s="924"/>
      <c r="H96" s="587" t="str">
        <f t="shared" ref="H96:H127" ca="1" si="14">IF(ISERROR(INDEX(G$359:G$457,VLOOKUP(ROW(G96)-ROW(G$49),$J$359:$K$457,2,0),0)),"",IF(INDEX(G$359:G$457,VLOOKUP(ROW(G96)-ROW(G$49),$J$359:$K$457,2,0),0)=0,"",INDEX(G$359:G$457,VLOOKUP(ROW(G96)-ROW(G$49),$J$359:$K$457,2,0),0)))</f>
        <v/>
      </c>
      <c r="I96" s="454" t="str">
        <f t="shared" ca="1" si="12"/>
        <v/>
      </c>
      <c r="J96" s="454" t="str">
        <f t="shared" ca="1" si="12"/>
        <v/>
      </c>
      <c r="K96" s="63"/>
      <c r="L96" s="63"/>
      <c r="M96" s="55">
        <v>47</v>
      </c>
      <c r="P96" s="313" t="str">
        <f t="shared" ca="1" si="11"/>
        <v/>
      </c>
      <c r="AH96" s="137"/>
      <c r="AM96" s="55"/>
      <c r="AO96" s="55"/>
      <c r="AQ96" s="55"/>
      <c r="BS96" s="137"/>
    </row>
    <row r="97" spans="1:71" x14ac:dyDescent="0.25">
      <c r="A97" s="924" t="str">
        <f t="shared" ca="1" si="13"/>
        <v/>
      </c>
      <c r="B97" s="924"/>
      <c r="C97" s="924"/>
      <c r="D97" s="924"/>
      <c r="E97" s="924"/>
      <c r="F97" s="924"/>
      <c r="G97" s="924"/>
      <c r="H97" s="587" t="str">
        <f t="shared" ca="1" si="14"/>
        <v/>
      </c>
      <c r="I97" s="454" t="str">
        <f t="shared" ca="1" si="12"/>
        <v/>
      </c>
      <c r="J97" s="454" t="str">
        <f t="shared" ca="1" si="12"/>
        <v/>
      </c>
      <c r="K97" s="63"/>
      <c r="L97" s="63"/>
      <c r="M97" s="55">
        <v>48</v>
      </c>
      <c r="P97" s="313" t="str">
        <f t="shared" ca="1" si="11"/>
        <v/>
      </c>
      <c r="AH97" s="137"/>
      <c r="AM97" s="55"/>
      <c r="AO97" s="55"/>
      <c r="AQ97" s="55"/>
      <c r="BS97" s="137"/>
    </row>
    <row r="98" spans="1:71" x14ac:dyDescent="0.25">
      <c r="A98" s="924" t="str">
        <f t="shared" ca="1" si="13"/>
        <v/>
      </c>
      <c r="B98" s="924"/>
      <c r="C98" s="924"/>
      <c r="D98" s="924"/>
      <c r="E98" s="924"/>
      <c r="F98" s="924"/>
      <c r="G98" s="924"/>
      <c r="H98" s="587" t="str">
        <f t="shared" ca="1" si="14"/>
        <v/>
      </c>
      <c r="I98" s="454" t="str">
        <f t="shared" ca="1" si="12"/>
        <v/>
      </c>
      <c r="J98" s="454" t="str">
        <f t="shared" ca="1" si="12"/>
        <v/>
      </c>
      <c r="K98" s="63"/>
      <c r="L98" s="63"/>
      <c r="M98" s="55">
        <v>49</v>
      </c>
      <c r="P98" s="313" t="str">
        <f t="shared" ca="1" si="11"/>
        <v/>
      </c>
      <c r="AH98" s="137"/>
      <c r="AM98" s="55"/>
      <c r="AO98" s="55"/>
      <c r="AQ98" s="55"/>
      <c r="BS98" s="137"/>
    </row>
    <row r="99" spans="1:71" x14ac:dyDescent="0.25">
      <c r="A99" s="924" t="str">
        <f t="shared" ca="1" si="13"/>
        <v/>
      </c>
      <c r="B99" s="924"/>
      <c r="C99" s="924"/>
      <c r="D99" s="924"/>
      <c r="E99" s="924"/>
      <c r="F99" s="924"/>
      <c r="G99" s="924"/>
      <c r="H99" s="587" t="str">
        <f t="shared" ca="1" si="14"/>
        <v/>
      </c>
      <c r="I99" s="454" t="str">
        <f t="shared" ca="1" si="12"/>
        <v/>
      </c>
      <c r="J99" s="454" t="str">
        <f t="shared" ca="1" si="12"/>
        <v/>
      </c>
      <c r="K99" s="63"/>
      <c r="L99" s="63"/>
      <c r="M99" s="55">
        <v>50</v>
      </c>
      <c r="P99" s="313" t="str">
        <f t="shared" ca="1" si="11"/>
        <v/>
      </c>
      <c r="AH99" s="137"/>
      <c r="AM99" s="55"/>
      <c r="AO99" s="55"/>
      <c r="AQ99" s="55"/>
      <c r="BS99" s="137"/>
    </row>
    <row r="100" spans="1:71" x14ac:dyDescent="0.25">
      <c r="A100" s="924" t="str">
        <f t="shared" ca="1" si="13"/>
        <v/>
      </c>
      <c r="B100" s="924"/>
      <c r="C100" s="924"/>
      <c r="D100" s="924"/>
      <c r="E100" s="924"/>
      <c r="F100" s="924"/>
      <c r="G100" s="924"/>
      <c r="H100" s="587" t="str">
        <f t="shared" ca="1" si="14"/>
        <v/>
      </c>
      <c r="I100" s="454" t="str">
        <f t="shared" ca="1" si="12"/>
        <v/>
      </c>
      <c r="J100" s="454" t="str">
        <f t="shared" ca="1" si="12"/>
        <v/>
      </c>
      <c r="K100" s="63"/>
      <c r="L100" s="63"/>
      <c r="M100" s="55">
        <v>51</v>
      </c>
      <c r="P100" s="313" t="str">
        <f t="shared" ca="1" si="11"/>
        <v/>
      </c>
      <c r="AH100" s="137"/>
      <c r="AM100" s="55"/>
      <c r="AO100" s="55"/>
      <c r="AQ100" s="55"/>
      <c r="BS100" s="137"/>
    </row>
    <row r="101" spans="1:71" x14ac:dyDescent="0.25">
      <c r="A101" s="924" t="str">
        <f t="shared" ca="1" si="13"/>
        <v/>
      </c>
      <c r="B101" s="924"/>
      <c r="C101" s="924"/>
      <c r="D101" s="924"/>
      <c r="E101" s="924"/>
      <c r="F101" s="924"/>
      <c r="G101" s="924"/>
      <c r="H101" s="587" t="str">
        <f t="shared" ca="1" si="14"/>
        <v/>
      </c>
      <c r="I101" s="454" t="str">
        <f t="shared" ca="1" si="12"/>
        <v/>
      </c>
      <c r="J101" s="454" t="str">
        <f t="shared" ca="1" si="12"/>
        <v/>
      </c>
      <c r="K101" s="63"/>
      <c r="L101" s="63"/>
      <c r="M101" s="55">
        <v>52</v>
      </c>
      <c r="P101" s="313" t="str">
        <f t="shared" ca="1" si="11"/>
        <v/>
      </c>
      <c r="AH101" s="137"/>
      <c r="AM101" s="55"/>
      <c r="AO101" s="55"/>
      <c r="AQ101" s="55"/>
      <c r="BS101" s="137"/>
    </row>
    <row r="102" spans="1:71" x14ac:dyDescent="0.25">
      <c r="A102" s="924" t="str">
        <f t="shared" ca="1" si="13"/>
        <v/>
      </c>
      <c r="B102" s="924"/>
      <c r="C102" s="924"/>
      <c r="D102" s="924"/>
      <c r="E102" s="924"/>
      <c r="F102" s="924"/>
      <c r="G102" s="924"/>
      <c r="H102" s="587" t="str">
        <f t="shared" ca="1" si="14"/>
        <v/>
      </c>
      <c r="I102" s="454" t="str">
        <f t="shared" ca="1" si="12"/>
        <v/>
      </c>
      <c r="J102" s="454" t="str">
        <f t="shared" ca="1" si="12"/>
        <v/>
      </c>
      <c r="K102" s="63"/>
      <c r="L102" s="63"/>
      <c r="M102" s="55">
        <v>53</v>
      </c>
      <c r="P102" s="313" t="str">
        <f t="shared" ca="1" si="11"/>
        <v/>
      </c>
      <c r="AH102" s="137"/>
      <c r="AM102" s="55"/>
      <c r="AO102" s="55"/>
      <c r="AQ102" s="55"/>
      <c r="BS102" s="137"/>
    </row>
    <row r="103" spans="1:71" x14ac:dyDescent="0.25">
      <c r="A103" s="924" t="str">
        <f t="shared" ca="1" si="13"/>
        <v/>
      </c>
      <c r="B103" s="924"/>
      <c r="C103" s="924"/>
      <c r="D103" s="924"/>
      <c r="E103" s="924"/>
      <c r="F103" s="924"/>
      <c r="G103" s="924"/>
      <c r="H103" s="587" t="str">
        <f t="shared" ca="1" si="14"/>
        <v/>
      </c>
      <c r="I103" s="454" t="str">
        <f t="shared" ca="1" si="12"/>
        <v/>
      </c>
      <c r="J103" s="454" t="str">
        <f t="shared" ca="1" si="12"/>
        <v/>
      </c>
      <c r="K103" s="63"/>
      <c r="L103" s="63"/>
      <c r="M103" s="55">
        <v>54</v>
      </c>
      <c r="P103" s="313" t="str">
        <f t="shared" ca="1" si="11"/>
        <v/>
      </c>
    </row>
    <row r="104" spans="1:71" x14ac:dyDescent="0.25">
      <c r="A104" s="924" t="str">
        <f t="shared" ca="1" si="13"/>
        <v/>
      </c>
      <c r="B104" s="924"/>
      <c r="C104" s="924"/>
      <c r="D104" s="924"/>
      <c r="E104" s="924"/>
      <c r="F104" s="924"/>
      <c r="G104" s="924"/>
      <c r="H104" s="587" t="str">
        <f t="shared" ca="1" si="14"/>
        <v/>
      </c>
      <c r="I104" s="454" t="str">
        <f t="shared" ref="I104:J123" ca="1" si="15">IF(ISERROR(INDEX(H$359:H$457,VLOOKUP(ROW(H104)-ROW(H$49),$J$359:$K$457,2,0),0)),"",INDEX(H$359:H$457,VLOOKUP(ROW(H104)-ROW(H$49),$J$359:$K$457,2,0),0))</f>
        <v/>
      </c>
      <c r="J104" s="454" t="str">
        <f t="shared" ca="1" si="15"/>
        <v/>
      </c>
      <c r="K104" s="63"/>
      <c r="L104" s="63"/>
      <c r="M104" s="55">
        <v>55</v>
      </c>
      <c r="P104" s="313" t="str">
        <f t="shared" ca="1" si="11"/>
        <v/>
      </c>
    </row>
    <row r="105" spans="1:71" x14ac:dyDescent="0.25">
      <c r="A105" s="924" t="str">
        <f t="shared" ca="1" si="13"/>
        <v/>
      </c>
      <c r="B105" s="924"/>
      <c r="C105" s="924"/>
      <c r="D105" s="924"/>
      <c r="E105" s="924"/>
      <c r="F105" s="924"/>
      <c r="G105" s="924"/>
      <c r="H105" s="587" t="str">
        <f t="shared" ca="1" si="14"/>
        <v/>
      </c>
      <c r="I105" s="454" t="str">
        <f t="shared" ca="1" si="15"/>
        <v/>
      </c>
      <c r="J105" s="454" t="str">
        <f t="shared" ca="1" si="15"/>
        <v/>
      </c>
      <c r="K105" s="63"/>
      <c r="L105" s="63"/>
      <c r="M105" s="55">
        <v>56</v>
      </c>
      <c r="P105" s="313" t="str">
        <f t="shared" ca="1" si="11"/>
        <v/>
      </c>
    </row>
    <row r="106" spans="1:71" x14ac:dyDescent="0.25">
      <c r="A106" s="924" t="str">
        <f t="shared" ca="1" si="13"/>
        <v/>
      </c>
      <c r="B106" s="924"/>
      <c r="C106" s="924"/>
      <c r="D106" s="924"/>
      <c r="E106" s="924"/>
      <c r="F106" s="924"/>
      <c r="G106" s="924"/>
      <c r="H106" s="587" t="str">
        <f t="shared" ca="1" si="14"/>
        <v/>
      </c>
      <c r="I106" s="454" t="str">
        <f t="shared" ca="1" si="15"/>
        <v/>
      </c>
      <c r="J106" s="454" t="str">
        <f t="shared" ca="1" si="15"/>
        <v/>
      </c>
      <c r="K106" s="63"/>
      <c r="L106" s="63"/>
      <c r="M106" s="55">
        <v>57</v>
      </c>
      <c r="P106" s="313" t="str">
        <f t="shared" ca="1" si="11"/>
        <v/>
      </c>
    </row>
    <row r="107" spans="1:71" x14ac:dyDescent="0.25">
      <c r="A107" s="924" t="str">
        <f t="shared" ca="1" si="13"/>
        <v/>
      </c>
      <c r="B107" s="924"/>
      <c r="C107" s="924"/>
      <c r="D107" s="924"/>
      <c r="E107" s="924"/>
      <c r="F107" s="924"/>
      <c r="G107" s="924"/>
      <c r="H107" s="587" t="str">
        <f t="shared" ca="1" si="14"/>
        <v/>
      </c>
      <c r="I107" s="454" t="str">
        <f t="shared" ca="1" si="15"/>
        <v/>
      </c>
      <c r="J107" s="454" t="str">
        <f t="shared" ca="1" si="15"/>
        <v/>
      </c>
      <c r="K107" s="63"/>
      <c r="L107" s="63"/>
      <c r="M107" s="55">
        <v>58</v>
      </c>
      <c r="P107" s="313" t="str">
        <f t="shared" ca="1" si="11"/>
        <v/>
      </c>
    </row>
    <row r="108" spans="1:71" x14ac:dyDescent="0.25">
      <c r="A108" s="924" t="str">
        <f t="shared" ca="1" si="13"/>
        <v/>
      </c>
      <c r="B108" s="924"/>
      <c r="C108" s="924"/>
      <c r="D108" s="924"/>
      <c r="E108" s="924"/>
      <c r="F108" s="924"/>
      <c r="G108" s="924"/>
      <c r="H108" s="587" t="str">
        <f t="shared" ca="1" si="14"/>
        <v/>
      </c>
      <c r="I108" s="454" t="str">
        <f t="shared" ca="1" si="15"/>
        <v/>
      </c>
      <c r="J108" s="454" t="str">
        <f t="shared" ca="1" si="15"/>
        <v/>
      </c>
      <c r="K108" s="63"/>
      <c r="L108" s="63"/>
      <c r="M108" s="55">
        <v>59</v>
      </c>
      <c r="P108" s="313" t="str">
        <f t="shared" ca="1" si="11"/>
        <v/>
      </c>
    </row>
    <row r="109" spans="1:71" x14ac:dyDescent="0.25">
      <c r="A109" s="924" t="str">
        <f t="shared" ca="1" si="13"/>
        <v/>
      </c>
      <c r="B109" s="924"/>
      <c r="C109" s="924"/>
      <c r="D109" s="924"/>
      <c r="E109" s="924"/>
      <c r="F109" s="924"/>
      <c r="G109" s="924"/>
      <c r="H109" s="587" t="str">
        <f t="shared" ca="1" si="14"/>
        <v/>
      </c>
      <c r="I109" s="454" t="str">
        <f t="shared" ca="1" si="15"/>
        <v/>
      </c>
      <c r="J109" s="454" t="str">
        <f t="shared" ca="1" si="15"/>
        <v/>
      </c>
      <c r="K109" s="63"/>
      <c r="L109" s="63"/>
      <c r="M109" s="55">
        <v>60</v>
      </c>
      <c r="P109" s="313" t="str">
        <f t="shared" ca="1" si="11"/>
        <v/>
      </c>
    </row>
    <row r="110" spans="1:71" x14ac:dyDescent="0.25">
      <c r="A110" s="924" t="str">
        <f t="shared" ca="1" si="13"/>
        <v/>
      </c>
      <c r="B110" s="924"/>
      <c r="C110" s="924"/>
      <c r="D110" s="924"/>
      <c r="E110" s="924"/>
      <c r="F110" s="924"/>
      <c r="G110" s="924"/>
      <c r="H110" s="587" t="str">
        <f t="shared" ca="1" si="14"/>
        <v/>
      </c>
      <c r="I110" s="454" t="str">
        <f t="shared" ca="1" si="15"/>
        <v/>
      </c>
      <c r="J110" s="454" t="str">
        <f t="shared" ca="1" si="15"/>
        <v/>
      </c>
      <c r="K110" s="63"/>
      <c r="L110" s="63"/>
      <c r="M110" s="55">
        <v>61</v>
      </c>
      <c r="P110" s="313" t="str">
        <f t="shared" ca="1" si="11"/>
        <v/>
      </c>
    </row>
    <row r="111" spans="1:71" x14ac:dyDescent="0.25">
      <c r="A111" s="924" t="str">
        <f t="shared" ca="1" si="13"/>
        <v/>
      </c>
      <c r="B111" s="924"/>
      <c r="C111" s="924"/>
      <c r="D111" s="924"/>
      <c r="E111" s="924"/>
      <c r="F111" s="924"/>
      <c r="G111" s="924"/>
      <c r="H111" s="587" t="str">
        <f t="shared" ca="1" si="14"/>
        <v/>
      </c>
      <c r="I111" s="454" t="str">
        <f t="shared" ca="1" si="15"/>
        <v/>
      </c>
      <c r="J111" s="454" t="str">
        <f t="shared" ca="1" si="15"/>
        <v/>
      </c>
      <c r="K111" s="63"/>
      <c r="L111" s="63"/>
      <c r="M111" s="55">
        <v>62</v>
      </c>
      <c r="P111" s="313" t="str">
        <f t="shared" ca="1" si="11"/>
        <v/>
      </c>
    </row>
    <row r="112" spans="1:71" x14ac:dyDescent="0.25">
      <c r="A112" s="924" t="str">
        <f t="shared" ca="1" si="13"/>
        <v/>
      </c>
      <c r="B112" s="924"/>
      <c r="C112" s="924"/>
      <c r="D112" s="924"/>
      <c r="E112" s="924"/>
      <c r="F112" s="924"/>
      <c r="G112" s="924"/>
      <c r="H112" s="587" t="str">
        <f t="shared" ca="1" si="14"/>
        <v/>
      </c>
      <c r="I112" s="454" t="str">
        <f t="shared" ca="1" si="15"/>
        <v/>
      </c>
      <c r="J112" s="454" t="str">
        <f t="shared" ca="1" si="15"/>
        <v/>
      </c>
      <c r="K112" s="63"/>
      <c r="L112" s="63"/>
      <c r="M112" s="55">
        <v>63</v>
      </c>
      <c r="P112" s="313" t="str">
        <f t="shared" ca="1" si="11"/>
        <v/>
      </c>
    </row>
    <row r="113" spans="1:16" x14ac:dyDescent="0.25">
      <c r="A113" s="924" t="str">
        <f t="shared" ca="1" si="13"/>
        <v/>
      </c>
      <c r="B113" s="924"/>
      <c r="C113" s="924"/>
      <c r="D113" s="924"/>
      <c r="E113" s="924"/>
      <c r="F113" s="924"/>
      <c r="G113" s="924"/>
      <c r="H113" s="587" t="str">
        <f t="shared" ca="1" si="14"/>
        <v/>
      </c>
      <c r="I113" s="454" t="str">
        <f t="shared" ca="1" si="15"/>
        <v/>
      </c>
      <c r="J113" s="454" t="str">
        <f t="shared" ca="1" si="15"/>
        <v/>
      </c>
      <c r="K113" s="63"/>
      <c r="L113" s="63"/>
      <c r="M113" s="55">
        <v>64</v>
      </c>
      <c r="P113" s="313" t="str">
        <f t="shared" ca="1" si="11"/>
        <v/>
      </c>
    </row>
    <row r="114" spans="1:16" x14ac:dyDescent="0.25">
      <c r="A114" s="924" t="str">
        <f t="shared" ca="1" si="13"/>
        <v/>
      </c>
      <c r="B114" s="924"/>
      <c r="C114" s="924"/>
      <c r="D114" s="924"/>
      <c r="E114" s="924"/>
      <c r="F114" s="924"/>
      <c r="G114" s="924"/>
      <c r="H114" s="587" t="str">
        <f t="shared" ca="1" si="14"/>
        <v/>
      </c>
      <c r="I114" s="454" t="str">
        <f t="shared" ca="1" si="15"/>
        <v/>
      </c>
      <c r="J114" s="454" t="str">
        <f t="shared" ca="1" si="15"/>
        <v/>
      </c>
      <c r="K114" s="63"/>
      <c r="L114" s="63"/>
      <c r="M114" s="55">
        <v>65</v>
      </c>
      <c r="P114" s="313" t="str">
        <f t="shared" ref="P114:P144" ca="1" si="16">IF(ISERROR(INDEX(L$359:L$457,VLOOKUP(ROW(P114)-ROW(P$49),$J$359:$K$457,2,0),0)),"",INDEX(L$359:L$457,VLOOKUP(ROW(P114)-ROW(P$49),$J$359:$K$457,2,0),0))</f>
        <v/>
      </c>
    </row>
    <row r="115" spans="1:16" x14ac:dyDescent="0.25">
      <c r="A115" s="924" t="str">
        <f t="shared" ca="1" si="13"/>
        <v/>
      </c>
      <c r="B115" s="924"/>
      <c r="C115" s="924"/>
      <c r="D115" s="924"/>
      <c r="E115" s="924"/>
      <c r="F115" s="924"/>
      <c r="G115" s="924"/>
      <c r="H115" s="587" t="str">
        <f t="shared" ca="1" si="14"/>
        <v/>
      </c>
      <c r="I115" s="454" t="str">
        <f t="shared" ca="1" si="15"/>
        <v/>
      </c>
      <c r="J115" s="454" t="str">
        <f t="shared" ca="1" si="15"/>
        <v/>
      </c>
      <c r="K115" s="63"/>
      <c r="L115" s="63"/>
      <c r="M115" s="55">
        <v>66</v>
      </c>
      <c r="P115" s="313" t="str">
        <f t="shared" ca="1" si="16"/>
        <v/>
      </c>
    </row>
    <row r="116" spans="1:16" x14ac:dyDescent="0.25">
      <c r="A116" s="924" t="str">
        <f t="shared" ca="1" si="13"/>
        <v/>
      </c>
      <c r="B116" s="924"/>
      <c r="C116" s="924"/>
      <c r="D116" s="924"/>
      <c r="E116" s="924"/>
      <c r="F116" s="924"/>
      <c r="G116" s="924"/>
      <c r="H116" s="587" t="str">
        <f t="shared" ca="1" si="14"/>
        <v/>
      </c>
      <c r="I116" s="454" t="str">
        <f t="shared" ca="1" si="15"/>
        <v/>
      </c>
      <c r="J116" s="454" t="str">
        <f t="shared" ca="1" si="15"/>
        <v/>
      </c>
      <c r="K116" s="63"/>
      <c r="L116" s="63"/>
      <c r="M116" s="55">
        <v>67</v>
      </c>
      <c r="P116" s="313" t="str">
        <f t="shared" ca="1" si="16"/>
        <v/>
      </c>
    </row>
    <row r="117" spans="1:16" x14ac:dyDescent="0.25">
      <c r="A117" s="924" t="str">
        <f t="shared" ca="1" si="13"/>
        <v/>
      </c>
      <c r="B117" s="924"/>
      <c r="C117" s="924"/>
      <c r="D117" s="924"/>
      <c r="E117" s="924"/>
      <c r="F117" s="924"/>
      <c r="G117" s="924"/>
      <c r="H117" s="587" t="str">
        <f t="shared" ca="1" si="14"/>
        <v/>
      </c>
      <c r="I117" s="454" t="str">
        <f t="shared" ca="1" si="15"/>
        <v/>
      </c>
      <c r="J117" s="454" t="str">
        <f t="shared" ca="1" si="15"/>
        <v/>
      </c>
      <c r="K117" s="63"/>
      <c r="L117" s="63"/>
      <c r="M117" s="55">
        <v>68</v>
      </c>
      <c r="P117" s="313" t="str">
        <f t="shared" ca="1" si="16"/>
        <v/>
      </c>
    </row>
    <row r="118" spans="1:16" x14ac:dyDescent="0.25">
      <c r="A118" s="924" t="str">
        <f t="shared" ca="1" si="13"/>
        <v/>
      </c>
      <c r="B118" s="924"/>
      <c r="C118" s="924"/>
      <c r="D118" s="924"/>
      <c r="E118" s="924"/>
      <c r="F118" s="924"/>
      <c r="G118" s="924"/>
      <c r="H118" s="587" t="str">
        <f t="shared" ca="1" si="14"/>
        <v/>
      </c>
      <c r="I118" s="454" t="str">
        <f t="shared" ca="1" si="15"/>
        <v/>
      </c>
      <c r="J118" s="454" t="str">
        <f t="shared" ca="1" si="15"/>
        <v/>
      </c>
      <c r="K118" s="63"/>
      <c r="L118" s="63"/>
      <c r="M118" s="55">
        <v>69</v>
      </c>
      <c r="P118" s="313" t="str">
        <f t="shared" ca="1" si="16"/>
        <v/>
      </c>
    </row>
    <row r="119" spans="1:16" x14ac:dyDescent="0.25">
      <c r="A119" s="924" t="str">
        <f t="shared" ca="1" si="13"/>
        <v/>
      </c>
      <c r="B119" s="924"/>
      <c r="C119" s="924"/>
      <c r="D119" s="924"/>
      <c r="E119" s="924"/>
      <c r="F119" s="924"/>
      <c r="G119" s="924"/>
      <c r="H119" s="587" t="str">
        <f t="shared" ca="1" si="14"/>
        <v/>
      </c>
      <c r="I119" s="454" t="str">
        <f t="shared" ca="1" si="15"/>
        <v/>
      </c>
      <c r="J119" s="454" t="str">
        <f t="shared" ca="1" si="15"/>
        <v/>
      </c>
      <c r="K119" s="63"/>
      <c r="L119" s="63"/>
      <c r="M119" s="55">
        <v>70</v>
      </c>
      <c r="P119" s="313" t="str">
        <f t="shared" ca="1" si="16"/>
        <v/>
      </c>
    </row>
    <row r="120" spans="1:16" x14ac:dyDescent="0.25">
      <c r="A120" s="924" t="str">
        <f t="shared" ca="1" si="13"/>
        <v/>
      </c>
      <c r="B120" s="924"/>
      <c r="C120" s="924"/>
      <c r="D120" s="924"/>
      <c r="E120" s="924"/>
      <c r="F120" s="924"/>
      <c r="G120" s="924"/>
      <c r="H120" s="587" t="str">
        <f t="shared" ca="1" si="14"/>
        <v/>
      </c>
      <c r="I120" s="454" t="str">
        <f t="shared" ca="1" si="15"/>
        <v/>
      </c>
      <c r="J120" s="454" t="str">
        <f t="shared" ca="1" si="15"/>
        <v/>
      </c>
      <c r="K120" s="63"/>
      <c r="L120" s="63"/>
      <c r="M120" s="55">
        <v>71</v>
      </c>
      <c r="P120" s="313" t="str">
        <f t="shared" ca="1" si="16"/>
        <v/>
      </c>
    </row>
    <row r="121" spans="1:16" x14ac:dyDescent="0.25">
      <c r="A121" s="924" t="str">
        <f t="shared" ca="1" si="13"/>
        <v/>
      </c>
      <c r="B121" s="924"/>
      <c r="C121" s="924"/>
      <c r="D121" s="924"/>
      <c r="E121" s="924"/>
      <c r="F121" s="924"/>
      <c r="G121" s="924"/>
      <c r="H121" s="587" t="str">
        <f t="shared" ca="1" si="14"/>
        <v/>
      </c>
      <c r="I121" s="454" t="str">
        <f t="shared" ca="1" si="15"/>
        <v/>
      </c>
      <c r="J121" s="454" t="str">
        <f t="shared" ca="1" si="15"/>
        <v/>
      </c>
      <c r="K121" s="63"/>
      <c r="L121" s="63"/>
      <c r="M121" s="55">
        <v>72</v>
      </c>
      <c r="P121" s="313" t="str">
        <f t="shared" ca="1" si="16"/>
        <v/>
      </c>
    </row>
    <row r="122" spans="1:16" x14ac:dyDescent="0.25">
      <c r="A122" s="924" t="str">
        <f t="shared" ca="1" si="13"/>
        <v/>
      </c>
      <c r="B122" s="924"/>
      <c r="C122" s="924"/>
      <c r="D122" s="924"/>
      <c r="E122" s="924"/>
      <c r="F122" s="924"/>
      <c r="G122" s="924"/>
      <c r="H122" s="587" t="str">
        <f t="shared" ca="1" si="14"/>
        <v/>
      </c>
      <c r="I122" s="454" t="str">
        <f t="shared" ca="1" si="15"/>
        <v/>
      </c>
      <c r="J122" s="454" t="str">
        <f t="shared" ca="1" si="15"/>
        <v/>
      </c>
      <c r="K122" s="63"/>
      <c r="L122" s="63"/>
      <c r="M122" s="55">
        <v>73</v>
      </c>
      <c r="P122" s="313" t="str">
        <f t="shared" ca="1" si="16"/>
        <v/>
      </c>
    </row>
    <row r="123" spans="1:16" x14ac:dyDescent="0.25">
      <c r="A123" s="924" t="str">
        <f t="shared" ca="1" si="13"/>
        <v/>
      </c>
      <c r="B123" s="924"/>
      <c r="C123" s="924"/>
      <c r="D123" s="924"/>
      <c r="E123" s="924"/>
      <c r="F123" s="924"/>
      <c r="G123" s="924"/>
      <c r="H123" s="587" t="str">
        <f t="shared" ca="1" si="14"/>
        <v/>
      </c>
      <c r="I123" s="454" t="str">
        <f t="shared" ca="1" si="15"/>
        <v/>
      </c>
      <c r="J123" s="454" t="str">
        <f t="shared" ca="1" si="15"/>
        <v/>
      </c>
      <c r="K123" s="63"/>
      <c r="L123" s="63"/>
      <c r="M123" s="55">
        <v>74</v>
      </c>
      <c r="P123" s="313" t="str">
        <f t="shared" ca="1" si="16"/>
        <v/>
      </c>
    </row>
    <row r="124" spans="1:16" x14ac:dyDescent="0.25">
      <c r="A124" s="924" t="str">
        <f t="shared" ca="1" si="13"/>
        <v/>
      </c>
      <c r="B124" s="924"/>
      <c r="C124" s="924"/>
      <c r="D124" s="924"/>
      <c r="E124" s="924"/>
      <c r="F124" s="924"/>
      <c r="G124" s="924"/>
      <c r="H124" s="587" t="str">
        <f t="shared" ca="1" si="14"/>
        <v/>
      </c>
      <c r="I124" s="454" t="str">
        <f t="shared" ref="I124:J143" ca="1" si="17">IF(ISERROR(INDEX(H$359:H$457,VLOOKUP(ROW(H124)-ROW(H$49),$J$359:$K$457,2,0),0)),"",INDEX(H$359:H$457,VLOOKUP(ROW(H124)-ROW(H$49),$J$359:$K$457,2,0),0))</f>
        <v/>
      </c>
      <c r="J124" s="454" t="str">
        <f t="shared" ca="1" si="17"/>
        <v/>
      </c>
      <c r="K124" s="63"/>
      <c r="L124" s="63"/>
      <c r="M124" s="55">
        <v>75</v>
      </c>
      <c r="P124" s="313" t="str">
        <f t="shared" ca="1" si="16"/>
        <v/>
      </c>
    </row>
    <row r="125" spans="1:16" x14ac:dyDescent="0.25">
      <c r="A125" s="924" t="str">
        <f t="shared" ref="A125:A144" ca="1" si="18">IF(ISERROR(INDEX(A$359:A$457,VLOOKUP(ROW(A125)-ROW(A$49),$J$359:$K$457,2,0),0)),"",INDEX(A$359:A$457,VLOOKUP(ROW(A125)-ROW(A$49),$J$359:$K$457,2,0),0))</f>
        <v/>
      </c>
      <c r="B125" s="924"/>
      <c r="C125" s="924"/>
      <c r="D125" s="924"/>
      <c r="E125" s="924"/>
      <c r="F125" s="924"/>
      <c r="G125" s="924"/>
      <c r="H125" s="587" t="str">
        <f t="shared" ca="1" si="14"/>
        <v/>
      </c>
      <c r="I125" s="454" t="str">
        <f t="shared" ca="1" si="17"/>
        <v/>
      </c>
      <c r="J125" s="454" t="str">
        <f t="shared" ca="1" si="17"/>
        <v/>
      </c>
      <c r="K125" s="63"/>
      <c r="L125" s="63"/>
      <c r="M125" s="55">
        <v>76</v>
      </c>
      <c r="P125" s="313" t="str">
        <f t="shared" ca="1" si="16"/>
        <v/>
      </c>
    </row>
    <row r="126" spans="1:16" x14ac:dyDescent="0.25">
      <c r="A126" s="924" t="str">
        <f t="shared" ca="1" si="18"/>
        <v/>
      </c>
      <c r="B126" s="924"/>
      <c r="C126" s="924"/>
      <c r="D126" s="924"/>
      <c r="E126" s="924"/>
      <c r="F126" s="924"/>
      <c r="G126" s="924"/>
      <c r="H126" s="587" t="str">
        <f t="shared" ca="1" si="14"/>
        <v/>
      </c>
      <c r="I126" s="454" t="str">
        <f t="shared" ca="1" si="17"/>
        <v/>
      </c>
      <c r="J126" s="454" t="str">
        <f t="shared" ca="1" si="17"/>
        <v/>
      </c>
      <c r="K126" s="63"/>
      <c r="L126" s="63"/>
      <c r="M126" s="55">
        <v>77</v>
      </c>
      <c r="P126" s="313" t="str">
        <f t="shared" ca="1" si="16"/>
        <v/>
      </c>
    </row>
    <row r="127" spans="1:16" x14ac:dyDescent="0.25">
      <c r="A127" s="924" t="str">
        <f t="shared" ca="1" si="18"/>
        <v/>
      </c>
      <c r="B127" s="924"/>
      <c r="C127" s="924"/>
      <c r="D127" s="924"/>
      <c r="E127" s="924"/>
      <c r="F127" s="924"/>
      <c r="G127" s="924"/>
      <c r="H127" s="587" t="str">
        <f t="shared" ca="1" si="14"/>
        <v/>
      </c>
      <c r="I127" s="454" t="str">
        <f t="shared" ca="1" si="17"/>
        <v/>
      </c>
      <c r="J127" s="454" t="str">
        <f t="shared" ca="1" si="17"/>
        <v/>
      </c>
      <c r="K127" s="63"/>
      <c r="L127" s="63"/>
      <c r="M127" s="55">
        <v>78</v>
      </c>
      <c r="P127" s="313" t="str">
        <f t="shared" ca="1" si="16"/>
        <v/>
      </c>
    </row>
    <row r="128" spans="1:16" x14ac:dyDescent="0.25">
      <c r="A128" s="924" t="str">
        <f t="shared" ca="1" si="18"/>
        <v/>
      </c>
      <c r="B128" s="924"/>
      <c r="C128" s="924"/>
      <c r="D128" s="924"/>
      <c r="E128" s="924"/>
      <c r="F128" s="924"/>
      <c r="G128" s="924"/>
      <c r="H128" s="587" t="str">
        <f t="shared" ref="H128:H144" ca="1" si="19">IF(ISERROR(INDEX(G$359:G$457,VLOOKUP(ROW(G128)-ROW(G$49),$J$359:$K$457,2,0),0)),"",IF(INDEX(G$359:G$457,VLOOKUP(ROW(G128)-ROW(G$49),$J$359:$K$457,2,0),0)=0,"",INDEX(G$359:G$457,VLOOKUP(ROW(G128)-ROW(G$49),$J$359:$K$457,2,0),0)))</f>
        <v/>
      </c>
      <c r="I128" s="454" t="str">
        <f t="shared" ca="1" si="17"/>
        <v/>
      </c>
      <c r="J128" s="454" t="str">
        <f t="shared" ca="1" si="17"/>
        <v/>
      </c>
      <c r="K128" s="63"/>
      <c r="L128" s="63"/>
      <c r="M128" s="55">
        <v>79</v>
      </c>
      <c r="P128" s="313" t="str">
        <f t="shared" ca="1" si="16"/>
        <v/>
      </c>
    </row>
    <row r="129" spans="1:16" x14ac:dyDescent="0.25">
      <c r="A129" s="924" t="str">
        <f t="shared" ca="1" si="18"/>
        <v/>
      </c>
      <c r="B129" s="924"/>
      <c r="C129" s="924"/>
      <c r="D129" s="924"/>
      <c r="E129" s="924"/>
      <c r="F129" s="924"/>
      <c r="G129" s="924"/>
      <c r="H129" s="587" t="str">
        <f t="shared" ca="1" si="19"/>
        <v/>
      </c>
      <c r="I129" s="454" t="str">
        <f t="shared" ca="1" si="17"/>
        <v/>
      </c>
      <c r="J129" s="454" t="str">
        <f t="shared" ca="1" si="17"/>
        <v/>
      </c>
      <c r="K129" s="63"/>
      <c r="L129" s="63"/>
      <c r="M129" s="55">
        <v>80</v>
      </c>
      <c r="P129" s="313" t="str">
        <f t="shared" ca="1" si="16"/>
        <v/>
      </c>
    </row>
    <row r="130" spans="1:16" x14ac:dyDescent="0.25">
      <c r="A130" s="924" t="str">
        <f t="shared" ca="1" si="18"/>
        <v/>
      </c>
      <c r="B130" s="924"/>
      <c r="C130" s="924"/>
      <c r="D130" s="924"/>
      <c r="E130" s="924"/>
      <c r="F130" s="924"/>
      <c r="G130" s="924"/>
      <c r="H130" s="587" t="str">
        <f t="shared" ca="1" si="19"/>
        <v/>
      </c>
      <c r="I130" s="454" t="str">
        <f t="shared" ca="1" si="17"/>
        <v/>
      </c>
      <c r="J130" s="454" t="str">
        <f t="shared" ca="1" si="17"/>
        <v/>
      </c>
      <c r="K130" s="63"/>
      <c r="L130" s="63"/>
      <c r="M130" s="55">
        <v>81</v>
      </c>
      <c r="P130" s="313" t="str">
        <f t="shared" ca="1" si="16"/>
        <v/>
      </c>
    </row>
    <row r="131" spans="1:16" x14ac:dyDescent="0.25">
      <c r="A131" s="924" t="str">
        <f t="shared" ca="1" si="18"/>
        <v/>
      </c>
      <c r="B131" s="924"/>
      <c r="C131" s="924"/>
      <c r="D131" s="924"/>
      <c r="E131" s="924"/>
      <c r="F131" s="924"/>
      <c r="G131" s="924"/>
      <c r="H131" s="587" t="str">
        <f t="shared" ca="1" si="19"/>
        <v/>
      </c>
      <c r="I131" s="454" t="str">
        <f t="shared" ca="1" si="17"/>
        <v/>
      </c>
      <c r="J131" s="454" t="str">
        <f t="shared" ca="1" si="17"/>
        <v/>
      </c>
      <c r="K131" s="63"/>
      <c r="L131" s="63"/>
      <c r="M131" s="55">
        <v>82</v>
      </c>
      <c r="P131" s="313" t="str">
        <f t="shared" ca="1" si="16"/>
        <v/>
      </c>
    </row>
    <row r="132" spans="1:16" x14ac:dyDescent="0.25">
      <c r="A132" s="924" t="str">
        <f t="shared" ca="1" si="18"/>
        <v/>
      </c>
      <c r="B132" s="924"/>
      <c r="C132" s="924"/>
      <c r="D132" s="924"/>
      <c r="E132" s="924"/>
      <c r="F132" s="924"/>
      <c r="G132" s="924"/>
      <c r="H132" s="587" t="str">
        <f t="shared" ca="1" si="19"/>
        <v/>
      </c>
      <c r="I132" s="454" t="str">
        <f t="shared" ca="1" si="17"/>
        <v/>
      </c>
      <c r="J132" s="454" t="str">
        <f t="shared" ca="1" si="17"/>
        <v/>
      </c>
      <c r="K132" s="63"/>
      <c r="L132" s="63"/>
      <c r="M132" s="55">
        <v>83</v>
      </c>
      <c r="P132" s="313" t="str">
        <f t="shared" ca="1" si="16"/>
        <v/>
      </c>
    </row>
    <row r="133" spans="1:16" x14ac:dyDescent="0.25">
      <c r="A133" s="924" t="str">
        <f t="shared" ca="1" si="18"/>
        <v/>
      </c>
      <c r="B133" s="924"/>
      <c r="C133" s="924"/>
      <c r="D133" s="924"/>
      <c r="E133" s="924"/>
      <c r="F133" s="924"/>
      <c r="G133" s="924"/>
      <c r="H133" s="587" t="str">
        <f t="shared" ca="1" si="19"/>
        <v/>
      </c>
      <c r="I133" s="454" t="str">
        <f t="shared" ca="1" si="17"/>
        <v/>
      </c>
      <c r="J133" s="454" t="str">
        <f t="shared" ca="1" si="17"/>
        <v/>
      </c>
      <c r="K133" s="63"/>
      <c r="L133" s="63"/>
      <c r="M133" s="55">
        <v>84</v>
      </c>
      <c r="P133" s="313" t="str">
        <f t="shared" ca="1" si="16"/>
        <v/>
      </c>
    </row>
    <row r="134" spans="1:16" x14ac:dyDescent="0.25">
      <c r="A134" s="924" t="str">
        <f t="shared" ca="1" si="18"/>
        <v/>
      </c>
      <c r="B134" s="924"/>
      <c r="C134" s="924"/>
      <c r="D134" s="924"/>
      <c r="E134" s="924"/>
      <c r="F134" s="924"/>
      <c r="G134" s="924"/>
      <c r="H134" s="587" t="str">
        <f t="shared" ca="1" si="19"/>
        <v/>
      </c>
      <c r="I134" s="454" t="str">
        <f t="shared" ca="1" si="17"/>
        <v/>
      </c>
      <c r="J134" s="454" t="str">
        <f t="shared" ca="1" si="17"/>
        <v/>
      </c>
      <c r="K134" s="63"/>
      <c r="L134" s="63"/>
      <c r="M134" s="55">
        <v>85</v>
      </c>
      <c r="P134" s="313" t="str">
        <f t="shared" ca="1" si="16"/>
        <v/>
      </c>
    </row>
    <row r="135" spans="1:16" x14ac:dyDescent="0.25">
      <c r="A135" s="924" t="str">
        <f t="shared" ca="1" si="18"/>
        <v/>
      </c>
      <c r="B135" s="924"/>
      <c r="C135" s="924"/>
      <c r="D135" s="924"/>
      <c r="E135" s="924"/>
      <c r="F135" s="924"/>
      <c r="G135" s="924"/>
      <c r="H135" s="587" t="str">
        <f t="shared" ca="1" si="19"/>
        <v/>
      </c>
      <c r="I135" s="454" t="str">
        <f t="shared" ca="1" si="17"/>
        <v/>
      </c>
      <c r="J135" s="454" t="str">
        <f t="shared" ca="1" si="17"/>
        <v/>
      </c>
      <c r="K135" s="63"/>
      <c r="L135" s="63"/>
      <c r="M135" s="55">
        <v>86</v>
      </c>
      <c r="P135" s="313" t="str">
        <f t="shared" ca="1" si="16"/>
        <v/>
      </c>
    </row>
    <row r="136" spans="1:16" x14ac:dyDescent="0.25">
      <c r="A136" s="924" t="str">
        <f t="shared" ca="1" si="18"/>
        <v/>
      </c>
      <c r="B136" s="924"/>
      <c r="C136" s="924"/>
      <c r="D136" s="924"/>
      <c r="E136" s="924"/>
      <c r="F136" s="924"/>
      <c r="G136" s="924"/>
      <c r="H136" s="587" t="str">
        <f t="shared" ca="1" si="19"/>
        <v/>
      </c>
      <c r="I136" s="454" t="str">
        <f t="shared" ca="1" si="17"/>
        <v/>
      </c>
      <c r="J136" s="454" t="str">
        <f t="shared" ca="1" si="17"/>
        <v/>
      </c>
      <c r="K136" s="63"/>
      <c r="L136" s="63"/>
      <c r="M136" s="55">
        <v>87</v>
      </c>
      <c r="P136" s="313" t="str">
        <f t="shared" ca="1" si="16"/>
        <v/>
      </c>
    </row>
    <row r="137" spans="1:16" x14ac:dyDescent="0.25">
      <c r="A137" s="924" t="str">
        <f t="shared" ca="1" si="18"/>
        <v/>
      </c>
      <c r="B137" s="924"/>
      <c r="C137" s="924"/>
      <c r="D137" s="924"/>
      <c r="E137" s="924"/>
      <c r="F137" s="924"/>
      <c r="G137" s="924"/>
      <c r="H137" s="587" t="str">
        <f t="shared" ca="1" si="19"/>
        <v/>
      </c>
      <c r="I137" s="454" t="str">
        <f t="shared" ca="1" si="17"/>
        <v/>
      </c>
      <c r="J137" s="454" t="str">
        <f t="shared" ca="1" si="17"/>
        <v/>
      </c>
      <c r="K137" s="63"/>
      <c r="L137" s="63"/>
      <c r="M137" s="55">
        <v>88</v>
      </c>
      <c r="P137" s="313" t="str">
        <f t="shared" ca="1" si="16"/>
        <v/>
      </c>
    </row>
    <row r="138" spans="1:16" x14ac:dyDescent="0.25">
      <c r="A138" s="924" t="str">
        <f t="shared" ca="1" si="18"/>
        <v/>
      </c>
      <c r="B138" s="924"/>
      <c r="C138" s="924"/>
      <c r="D138" s="924"/>
      <c r="E138" s="924"/>
      <c r="F138" s="924"/>
      <c r="G138" s="924"/>
      <c r="H138" s="587" t="str">
        <f t="shared" ca="1" si="19"/>
        <v/>
      </c>
      <c r="I138" s="454" t="str">
        <f t="shared" ca="1" si="17"/>
        <v/>
      </c>
      <c r="J138" s="454" t="str">
        <f t="shared" ca="1" si="17"/>
        <v/>
      </c>
      <c r="K138" s="63"/>
      <c r="L138" s="63"/>
      <c r="M138" s="55">
        <v>89</v>
      </c>
      <c r="P138" s="313" t="str">
        <f t="shared" ca="1" si="16"/>
        <v/>
      </c>
    </row>
    <row r="139" spans="1:16" x14ac:dyDescent="0.25">
      <c r="A139" s="924" t="str">
        <f t="shared" ca="1" si="18"/>
        <v/>
      </c>
      <c r="B139" s="924"/>
      <c r="C139" s="924"/>
      <c r="D139" s="924"/>
      <c r="E139" s="924"/>
      <c r="F139" s="924"/>
      <c r="G139" s="924"/>
      <c r="H139" s="587" t="str">
        <f t="shared" ca="1" si="19"/>
        <v/>
      </c>
      <c r="I139" s="454" t="str">
        <f t="shared" ca="1" si="17"/>
        <v/>
      </c>
      <c r="J139" s="454" t="str">
        <f t="shared" ca="1" si="17"/>
        <v/>
      </c>
      <c r="K139" s="63"/>
      <c r="L139" s="63"/>
      <c r="M139" s="55">
        <v>90</v>
      </c>
      <c r="P139" s="313" t="str">
        <f t="shared" ca="1" si="16"/>
        <v/>
      </c>
    </row>
    <row r="140" spans="1:16" x14ac:dyDescent="0.25">
      <c r="A140" s="924" t="str">
        <f t="shared" ca="1" si="18"/>
        <v/>
      </c>
      <c r="B140" s="924"/>
      <c r="C140" s="924"/>
      <c r="D140" s="924"/>
      <c r="E140" s="924"/>
      <c r="F140" s="924"/>
      <c r="G140" s="924"/>
      <c r="H140" s="587" t="str">
        <f t="shared" ca="1" si="19"/>
        <v/>
      </c>
      <c r="I140" s="454" t="str">
        <f t="shared" ca="1" si="17"/>
        <v/>
      </c>
      <c r="J140" s="454" t="str">
        <f t="shared" ca="1" si="17"/>
        <v/>
      </c>
      <c r="M140" s="55">
        <v>91</v>
      </c>
      <c r="O140" s="369"/>
      <c r="P140" s="313" t="str">
        <f t="shared" ca="1" si="16"/>
        <v/>
      </c>
    </row>
    <row r="141" spans="1:16" x14ac:dyDescent="0.25">
      <c r="A141" s="924" t="str">
        <f t="shared" ca="1" si="18"/>
        <v/>
      </c>
      <c r="B141" s="924"/>
      <c r="C141" s="924"/>
      <c r="D141" s="924"/>
      <c r="E141" s="924"/>
      <c r="F141" s="924"/>
      <c r="G141" s="924"/>
      <c r="H141" s="587" t="str">
        <f t="shared" ca="1" si="19"/>
        <v/>
      </c>
      <c r="I141" s="454" t="str">
        <f t="shared" ca="1" si="17"/>
        <v/>
      </c>
      <c r="J141" s="454" t="str">
        <f t="shared" ca="1" si="17"/>
        <v/>
      </c>
      <c r="M141" s="55">
        <v>92</v>
      </c>
      <c r="O141" s="312"/>
      <c r="P141" s="313" t="str">
        <f t="shared" ca="1" si="16"/>
        <v/>
      </c>
    </row>
    <row r="142" spans="1:16" x14ac:dyDescent="0.25">
      <c r="A142" s="924" t="str">
        <f t="shared" ca="1" si="18"/>
        <v/>
      </c>
      <c r="B142" s="924"/>
      <c r="C142" s="924"/>
      <c r="D142" s="924"/>
      <c r="E142" s="924"/>
      <c r="F142" s="924"/>
      <c r="G142" s="924"/>
      <c r="H142" s="587" t="str">
        <f t="shared" ca="1" si="19"/>
        <v/>
      </c>
      <c r="I142" s="454" t="str">
        <f t="shared" ca="1" si="17"/>
        <v/>
      </c>
      <c r="J142" s="454" t="str">
        <f t="shared" ca="1" si="17"/>
        <v/>
      </c>
      <c r="M142" s="55">
        <v>93</v>
      </c>
      <c r="O142" s="455"/>
      <c r="P142" s="313" t="str">
        <f t="shared" ca="1" si="16"/>
        <v/>
      </c>
    </row>
    <row r="143" spans="1:16" x14ac:dyDescent="0.25">
      <c r="A143" s="924" t="str">
        <f t="shared" ca="1" si="18"/>
        <v/>
      </c>
      <c r="B143" s="924"/>
      <c r="C143" s="924"/>
      <c r="D143" s="924"/>
      <c r="E143" s="924"/>
      <c r="F143" s="924"/>
      <c r="G143" s="924"/>
      <c r="H143" s="587" t="str">
        <f t="shared" ca="1" si="19"/>
        <v/>
      </c>
      <c r="I143" s="454" t="str">
        <f t="shared" ca="1" si="17"/>
        <v/>
      </c>
      <c r="J143" s="454" t="str">
        <f t="shared" ca="1" si="17"/>
        <v/>
      </c>
      <c r="M143" s="55">
        <v>94</v>
      </c>
      <c r="O143" s="288"/>
      <c r="P143" s="313" t="str">
        <f t="shared" ca="1" si="16"/>
        <v/>
      </c>
    </row>
    <row r="144" spans="1:16" x14ac:dyDescent="0.25">
      <c r="A144" s="924" t="str">
        <f t="shared" ca="1" si="18"/>
        <v/>
      </c>
      <c r="B144" s="924"/>
      <c r="C144" s="924"/>
      <c r="D144" s="924"/>
      <c r="E144" s="924"/>
      <c r="F144" s="924"/>
      <c r="G144" s="924"/>
      <c r="H144" s="587" t="str">
        <f t="shared" ca="1" si="19"/>
        <v/>
      </c>
      <c r="I144" s="454" t="str">
        <f t="shared" ref="I144:J144" ca="1" si="20">IF(ISERROR(INDEX(H$359:H$457,VLOOKUP(ROW(H144)-ROW(H$49),$J$359:$K$457,2,0),0)),"",INDEX(H$359:H$457,VLOOKUP(ROW(H144)-ROW(H$49),$J$359:$K$457,2,0),0))</f>
        <v/>
      </c>
      <c r="J144" s="454" t="str">
        <f t="shared" ca="1" si="20"/>
        <v/>
      </c>
      <c r="M144" s="55">
        <v>95</v>
      </c>
      <c r="O144" s="288" t="s">
        <v>519</v>
      </c>
      <c r="P144" s="313" t="str">
        <f t="shared" ca="1" si="16"/>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1">1*NOT(AA146=0)</f>
        <v>1</v>
      </c>
      <c r="AA146" s="496" t="str">
        <f t="shared" ref="AA146:AA152" ca="1" si="22">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45292</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1"/>
        <v>1</v>
      </c>
      <c r="AA148" s="63" t="str">
        <f t="shared" ca="1" si="22"/>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1"/>
        <v>1</v>
      </c>
      <c r="AA149" s="55" t="str">
        <f t="shared" ca="1" si="22"/>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L150"/>
      <c r="M150"/>
      <c r="O150" s="288">
        <f t="shared" ca="1" si="21"/>
        <v>1</v>
      </c>
      <c r="AA150" s="55" t="str">
        <f t="shared" ca="1" si="22"/>
        <v>Position im Rechnungsformular:</v>
      </c>
      <c r="AC150" s="55" t="str">
        <f ca="1">INDIRECT(ADDRESS(ROW()+N_Offset_M,COLUMN(E150)+(N_SpracheAuswahl)*26,,,"Text"))</f>
        <v>für AB-IV / AB Kanton</v>
      </c>
      <c r="AK150" s="292">
        <f ca="1">INDIRECT(ADDRESS(ROW()+N_Offset_M,COLUMN(K150)+(N_SpracheAuswahl)*26,,,"Text"))</f>
        <v>0</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3">AJ151</f>
        <v>LFP Stunden (OR 324)</v>
      </c>
      <c r="K151"/>
      <c r="L151"/>
      <c r="M151"/>
      <c r="O151" s="288">
        <f t="shared" ca="1" si="21"/>
        <v>1</v>
      </c>
      <c r="AA151" s="55" t="str">
        <f t="shared" ca="1" si="22"/>
        <v>Spaltenbezeichnung:</v>
      </c>
      <c r="AE151" s="292" t="str">
        <f t="shared" ref="AE151:AJ151" ca="1" si="24">INDIRECT(ADDRESS(ROW()+N_Offset_M,COLUMN(E151)+(N_SpracheAuswahl)*26,,,"Text"))</f>
        <v>Stunden Standard</v>
      </c>
      <c r="AF151" s="292" t="str">
        <f t="shared" ca="1" si="24"/>
        <v>Stunden Quali B</v>
      </c>
      <c r="AG151" s="292" t="str">
        <f t="shared" ca="1" si="24"/>
        <v>Anzahl Nächte</v>
      </c>
      <c r="AH151" s="292" t="str">
        <f t="shared" ca="1" si="24"/>
        <v>LFP CHF (OR 324a)</v>
      </c>
      <c r="AI151" s="292" t="str">
        <f t="shared" ca="1" si="24"/>
        <v>LFP CHF (OR 324)</v>
      </c>
      <c r="AJ151" s="292" t="str">
        <f t="shared" ca="1" si="24"/>
        <v>LFP Stunden (OR 324)</v>
      </c>
      <c r="AK151" s="292">
        <f ca="1">INDIRECT(ADDRESS(ROW()+N_Offset_M,COLUMN(K151)+(N_SpracheAuswahl)*26,,,"Text"))</f>
        <v>0</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5">
        <f ca="1">('  B  '!C28*E155)+DI295</f>
        <v>0</v>
      </c>
      <c r="J152" s="579">
        <f ca="1">SUMIF($AE$264:$AE$294,4,$I$264:$I$294)</f>
        <v>0</v>
      </c>
      <c r="K152"/>
      <c r="L152"/>
      <c r="M152"/>
      <c r="O152" s="288">
        <f t="shared" ca="1" si="21"/>
        <v>1</v>
      </c>
      <c r="AA152" s="55" t="str">
        <f t="shared" ca="1" si="22"/>
        <v>Werte:</v>
      </c>
    </row>
    <row r="153" spans="1:43" ht="25.2" customHeight="1" x14ac:dyDescent="0.25">
      <c r="F153" s="826" t="str">
        <f ca="1">(AF153)</f>
        <v>nur für AB Kanton</v>
      </c>
      <c r="J153" s="63"/>
      <c r="O153" s="288">
        <f t="shared" si="21"/>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5">IF($O154=0,"",AE154)</f>
        <v>LFP Nächte (OR 324)</v>
      </c>
      <c r="F154" s="819" t="str">
        <f t="shared" ca="1" si="25"/>
        <v>Nettolohn</v>
      </c>
      <c r="G154" s="371" t="str">
        <f t="shared" ca="1" si="25"/>
        <v>Sozial-beiträge</v>
      </c>
      <c r="H154" s="371" t="str">
        <f t="shared" ca="1" si="25"/>
        <v>Spesen</v>
      </c>
      <c r="I154" s="371" t="str">
        <f t="shared" ca="1" si="25"/>
        <v>Ferientage bezogen</v>
      </c>
      <c r="J154" s="371" t="str">
        <f t="shared" ca="1" si="25"/>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row>
    <row r="156" spans="1:43" x14ac:dyDescent="0.25">
      <c r="J156" s="63"/>
      <c r="O156" s="288"/>
    </row>
    <row r="157" spans="1:43" ht="42.6" customHeight="1" thickBot="1" x14ac:dyDescent="0.3">
      <c r="A157" s="957" t="str">
        <f t="shared" ref="A157:A189" ca="1" si="26">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7">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6"/>
        <v>Lohnfortzahlung von</v>
      </c>
      <c r="B158" s="864"/>
      <c r="C158" s="864"/>
      <c r="D158" s="864"/>
      <c r="E158" s="865"/>
      <c r="F158" s="181">
        <f>IF(O158&gt;0,I214,"")</f>
        <v>0</v>
      </c>
      <c r="G158" s="180"/>
      <c r="H158" s="180"/>
      <c r="I158" s="180"/>
      <c r="O158" s="288">
        <v>1</v>
      </c>
      <c r="AA158" s="55" t="str">
        <f t="shared" ca="1" si="27"/>
        <v>Lohnfortzahlung von</v>
      </c>
    </row>
    <row r="159" spans="1:43" ht="13.8" thickBot="1" x14ac:dyDescent="0.3">
      <c r="A159" s="864" t="str">
        <f t="shared" ca="1" si="26"/>
        <v>Lohnfortzahlung bis</v>
      </c>
      <c r="B159" s="864"/>
      <c r="C159" s="864"/>
      <c r="D159" s="864"/>
      <c r="E159" s="865"/>
      <c r="F159" s="181">
        <f ca="1">IF(O159&gt;0,IF(S216=$Y$260,IF(AND(I220&lt;I215,I220&gt;I214),I220-1,I215),IF(S216=$Z$260,MIN(I214+1,I215),I215)),"")</f>
        <v>0</v>
      </c>
      <c r="G159" s="180"/>
      <c r="H159" s="180"/>
      <c r="I159" s="180"/>
      <c r="O159" s="288">
        <v>1</v>
      </c>
      <c r="AA159" s="55" t="str">
        <f t="shared" ca="1" si="27"/>
        <v>Lohnfortzahlung bis</v>
      </c>
    </row>
    <row r="160" spans="1:43" ht="13.8" thickBot="1" x14ac:dyDescent="0.3">
      <c r="A160" s="864" t="str">
        <f t="shared" ca="1" si="26"/>
        <v xml:space="preserve">Lohnfortzahlung für </v>
      </c>
      <c r="B160" s="864"/>
      <c r="C160" s="864"/>
      <c r="D160" s="864"/>
      <c r="E160" s="865"/>
      <c r="F160" s="184" t="str">
        <f>IF(O160&gt;0,'  B  '!C35&amp;", "&amp;'  B  '!C34,"")</f>
        <v xml:space="preserve">, </v>
      </c>
      <c r="G160" s="180"/>
      <c r="H160" s="180"/>
      <c r="I160" s="180"/>
      <c r="M160" s="56"/>
      <c r="O160" s="288">
        <v>1</v>
      </c>
      <c r="AA160" s="55" t="str">
        <f t="shared" ca="1" si="27"/>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M161" s="56"/>
      <c r="O161" s="288">
        <v>1</v>
      </c>
      <c r="AA161" s="55" t="str">
        <f t="shared" ca="1" si="27"/>
        <v>Lohnfortzahlung Nächte</v>
      </c>
      <c r="AF161" s="55" t="str">
        <f t="shared" ref="AF161" ca="1" si="28">INDIRECT(ADDRESS(ROW()+N_Offset_M,COLUMN(F161)+(N_SpracheAuswahl)*26,,,"Text"))</f>
        <v>muss manuell ausgerechnet werden, siehe Zeile</v>
      </c>
      <c r="AJ161" s="55">
        <f>ROW(A$331)</f>
        <v>331</v>
      </c>
    </row>
    <row r="162" spans="1:36" ht="13.8" thickBot="1" x14ac:dyDescent="0.3">
      <c r="A162" s="864" t="str">
        <f t="shared" ref="A162" ca="1" si="29">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7"/>
        <v>Lohnfortzahlung Stunden</v>
      </c>
    </row>
    <row r="163" spans="1:36" ht="13.8" thickBot="1" x14ac:dyDescent="0.3">
      <c r="A163" s="864" t="str">
        <f t="shared" ca="1" si="26"/>
        <v>Grund der Arbeitsunfähigkeit</v>
      </c>
      <c r="B163" s="864"/>
      <c r="C163" s="864"/>
      <c r="D163" s="864"/>
      <c r="E163" s="865"/>
      <c r="F163" s="184">
        <f>IF(O163&gt;0,G216,"")</f>
        <v>0</v>
      </c>
      <c r="G163" s="180"/>
      <c r="H163" s="180"/>
      <c r="I163" s="180"/>
      <c r="O163" s="288">
        <v>1</v>
      </c>
      <c r="AA163" s="55" t="str">
        <f t="shared" ca="1" si="27"/>
        <v>Grund der Arbeitsunfähigkeit</v>
      </c>
    </row>
    <row r="164" spans="1:36" ht="13.8" thickBot="1" x14ac:dyDescent="0.3">
      <c r="A164" s="864" t="str">
        <f t="shared" ca="1" si="26"/>
        <v>Grund, falls andere</v>
      </c>
      <c r="B164" s="864"/>
      <c r="C164" s="864"/>
      <c r="D164" s="864"/>
      <c r="E164" s="865"/>
      <c r="F164" s="291"/>
      <c r="G164" s="290"/>
      <c r="H164" s="290"/>
      <c r="I164" s="290"/>
      <c r="O164" s="288">
        <v>1</v>
      </c>
      <c r="AA164" s="55" t="str">
        <f t="shared" ca="1" si="27"/>
        <v>Grund, falls andere</v>
      </c>
    </row>
    <row r="165" spans="1:36" ht="13.8" thickBot="1" x14ac:dyDescent="0.3">
      <c r="A165" s="864" t="str">
        <f t="shared" ca="1" si="26"/>
        <v>Rückerstattung anderer Versicherungen</v>
      </c>
      <c r="B165" s="864"/>
      <c r="C165" s="864"/>
      <c r="D165" s="864"/>
      <c r="E165" s="865"/>
      <c r="F165" s="182" t="str">
        <f ca="1">IF(O166&gt;0,IF(F166&gt;0,OFFSET(L_JaNein,0,0,1,1),OFFSET(L_JaNein,1,0,1,1)),"")</f>
        <v>Nein</v>
      </c>
      <c r="G165" s="180"/>
      <c r="H165" s="180"/>
      <c r="I165" s="180"/>
      <c r="O165" s="288">
        <v>1</v>
      </c>
      <c r="AA165" s="55" t="str">
        <f t="shared" ca="1" si="27"/>
        <v>Rückerstattung anderer Versicherungen</v>
      </c>
    </row>
    <row r="166" spans="1:36" ht="13.8" thickBot="1" x14ac:dyDescent="0.3">
      <c r="A166" s="864" t="str">
        <f t="shared" ca="1" si="26"/>
        <v>Rückerstattung in CHF</v>
      </c>
      <c r="B166" s="864"/>
      <c r="C166" s="864"/>
      <c r="D166" s="864"/>
      <c r="E166" s="865"/>
      <c r="F166" s="182"/>
      <c r="G166" s="180"/>
      <c r="H166" s="180"/>
      <c r="I166" s="180"/>
      <c r="O166" s="288">
        <v>1</v>
      </c>
      <c r="AA166" s="55" t="str">
        <f t="shared" ca="1" si="27"/>
        <v>Rückerstattung in CHF</v>
      </c>
    </row>
    <row r="167" spans="1:36" ht="13.8" thickBot="1" x14ac:dyDescent="0.3">
      <c r="A167" s="864" t="str">
        <f t="shared" ca="1" si="26"/>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7"/>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30">INDIRECT(ADDRESS(ROW()+N_Offset_M,COLUMN(A170)+(N_SpracheAuswahl)*26,,,"Text"))</f>
        <v>Lohnfortzahlung von</v>
      </c>
    </row>
    <row r="170" spans="1:36" ht="13.8" thickBot="1" x14ac:dyDescent="0.3">
      <c r="A170" s="864" t="str">
        <f t="shared" ca="1" si="26"/>
        <v>Lohnfortzahlung bis</v>
      </c>
      <c r="B170" s="864"/>
      <c r="C170" s="864"/>
      <c r="D170" s="864"/>
      <c r="E170" s="865"/>
      <c r="F170" s="181">
        <f ca="1">IF(O170&gt;0,IF(S226=$Y$260,IF(AND(I230&lt;I225,I230&gt;I224),I230-1,I225),IF(S226=$Z$260,MIN(I224+1,I225),I225)),"")</f>
        <v>0</v>
      </c>
      <c r="G170" s="180"/>
      <c r="H170" s="180"/>
      <c r="I170" s="180"/>
      <c r="O170" s="288">
        <v>1</v>
      </c>
      <c r="AA170" s="55" t="str">
        <f t="shared" ca="1" si="30"/>
        <v>Lohnfortzahlung bis</v>
      </c>
    </row>
    <row r="171" spans="1:36" ht="13.8" thickBot="1" x14ac:dyDescent="0.3">
      <c r="A171" s="864" t="str">
        <f t="shared" ca="1" si="26"/>
        <v xml:space="preserve">Lohnfortzahlung für </v>
      </c>
      <c r="B171" s="864"/>
      <c r="C171" s="864"/>
      <c r="D171" s="864"/>
      <c r="E171" s="865"/>
      <c r="F171" s="183" t="str">
        <f>IF(O171&gt;0,'  B  '!C35&amp;", "&amp;'  B  '!C34,"")</f>
        <v xml:space="preserve">, </v>
      </c>
      <c r="G171" s="180"/>
      <c r="H171" s="180"/>
      <c r="I171" s="180"/>
      <c r="O171" s="288">
        <v>1</v>
      </c>
      <c r="AA171" s="55" t="str">
        <f t="shared" ca="1" si="30"/>
        <v xml:space="preserve">Lohnfortzahlung für </v>
      </c>
      <c r="AJ171" s="55">
        <f>ROW(A$331)</f>
        <v>331</v>
      </c>
    </row>
    <row r="172" spans="1:36" ht="13.8" thickBot="1" x14ac:dyDescent="0.3">
      <c r="A172" s="864" t="str">
        <f t="shared" ca="1" si="26"/>
        <v>Lohnfortzahlung Nächte</v>
      </c>
      <c r="B172" s="864"/>
      <c r="C172" s="864"/>
      <c r="D172" s="864"/>
      <c r="E172" s="865"/>
      <c r="F172" s="182">
        <f>SUM(I232)</f>
        <v>0</v>
      </c>
      <c r="G172" s="180"/>
      <c r="H172" s="180"/>
      <c r="I172" s="180"/>
      <c r="M172" s="56"/>
      <c r="O172" s="288">
        <v>1</v>
      </c>
      <c r="AA172" s="55" t="str">
        <f t="shared" ca="1" si="30"/>
        <v>Lohnfortzahlung Nächte</v>
      </c>
    </row>
    <row r="173" spans="1:36" ht="13.8" thickBot="1" x14ac:dyDescent="0.3">
      <c r="A173" s="864" t="str">
        <f t="shared" ca="1" si="26"/>
        <v>Lohnfortzahlung Stunden</v>
      </c>
      <c r="B173" s="864"/>
      <c r="C173" s="864"/>
      <c r="D173" s="864"/>
      <c r="E173" s="865"/>
      <c r="F173" s="860">
        <f ca="1">SUMIF($A$264:$A$294,"&lt;="&amp;F170,$I$264:$I$294)-SUMIF($A$264:$A$294,"&lt;"&amp;F169,$I$264:$I$294)</f>
        <v>0</v>
      </c>
      <c r="G173" s="861"/>
      <c r="H173" s="861"/>
      <c r="I173" s="861"/>
      <c r="O173" s="288">
        <v>1</v>
      </c>
      <c r="AA173" s="55" t="str">
        <f t="shared" ca="1" si="30"/>
        <v>Lohnfortzahlung Stunden</v>
      </c>
    </row>
    <row r="174" spans="1:36" ht="13.8" thickBot="1" x14ac:dyDescent="0.3">
      <c r="A174" s="864" t="str">
        <f t="shared" ca="1" si="26"/>
        <v>Grund der Arbeitsunfähigkeit</v>
      </c>
      <c r="B174" s="864"/>
      <c r="C174" s="864"/>
      <c r="D174" s="864"/>
      <c r="E174" s="865"/>
      <c r="F174" s="183">
        <f>IF(O174&gt;0,G226,"")</f>
        <v>0</v>
      </c>
      <c r="G174" s="180"/>
      <c r="H174" s="180"/>
      <c r="I174" s="180"/>
      <c r="O174" s="288">
        <v>1</v>
      </c>
      <c r="AA174" s="55" t="str">
        <f t="shared" ca="1" si="30"/>
        <v>Grund der Arbeitsunfähigkeit</v>
      </c>
    </row>
    <row r="175" spans="1:36" ht="13.8" thickBot="1" x14ac:dyDescent="0.3">
      <c r="A175" s="864" t="str">
        <f t="shared" ca="1" si="26"/>
        <v>Grund, falls andere</v>
      </c>
      <c r="B175" s="864"/>
      <c r="C175" s="864"/>
      <c r="D175" s="864"/>
      <c r="E175" s="865"/>
      <c r="F175" s="691"/>
      <c r="G175" s="290"/>
      <c r="H175" s="690"/>
      <c r="I175" s="290"/>
      <c r="O175" s="288">
        <v>1</v>
      </c>
      <c r="AA175" s="55" t="str">
        <f t="shared" ca="1" si="30"/>
        <v>Grund, falls andere</v>
      </c>
    </row>
    <row r="176" spans="1:36" ht="13.8" thickBot="1" x14ac:dyDescent="0.3">
      <c r="A176" s="864" t="str">
        <f t="shared" ca="1" si="26"/>
        <v>Rückerstattung anderer Versicherungen</v>
      </c>
      <c r="B176" s="864"/>
      <c r="C176" s="864"/>
      <c r="D176" s="864"/>
      <c r="E176" s="865"/>
      <c r="F176" s="182" t="str">
        <f ca="1">IF(O176&gt;0,IF(F177&gt;0,OFFSET(L_JaNein,0,0,1,1),OFFSET(L_JaNein,1,0,1,1)),"")</f>
        <v>Nein</v>
      </c>
      <c r="G176" s="180"/>
      <c r="H176" s="180"/>
      <c r="I176" s="180"/>
      <c r="O176" s="288">
        <v>1</v>
      </c>
      <c r="AA176" s="55" t="str">
        <f t="shared" ca="1" si="30"/>
        <v>Rückerstattung anderer Versicherungen</v>
      </c>
    </row>
    <row r="177" spans="1:36" ht="13.8" thickBot="1" x14ac:dyDescent="0.3">
      <c r="A177" s="864" t="str">
        <f t="shared" ca="1" si="26"/>
        <v>Rückerstattung in CHF</v>
      </c>
      <c r="B177" s="864"/>
      <c r="C177" s="864"/>
      <c r="D177" s="864"/>
      <c r="E177" s="865"/>
      <c r="F177" s="182"/>
      <c r="G177" s="180"/>
      <c r="H177" s="180"/>
      <c r="I177" s="180"/>
      <c r="O177" s="288">
        <v>1</v>
      </c>
      <c r="AA177" s="55" t="str">
        <f t="shared" ca="1" si="30"/>
        <v>Rückerstattung in CHF</v>
      </c>
    </row>
    <row r="178" spans="1:36" ht="13.8" thickBot="1" x14ac:dyDescent="0.3">
      <c r="A178" s="864" t="str">
        <f t="shared" ca="1" si="26"/>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30"/>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1">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2">INDIRECT(ADDRESS(ROW()+N_Offset_M,COLUMN(A181)+(N_SpracheAuswahl)*26,,,"Text"))</f>
        <v>Lohnfortzahlung von</v>
      </c>
    </row>
    <row r="181" spans="1:36" ht="13.8" thickBot="1" x14ac:dyDescent="0.3">
      <c r="A181" s="864" t="str">
        <f t="shared" ca="1" si="26"/>
        <v>Lohnfortzahlung bis</v>
      </c>
      <c r="B181" s="864"/>
      <c r="C181" s="864"/>
      <c r="D181" s="864"/>
      <c r="E181" s="865"/>
      <c r="F181" s="181">
        <f ca="1">IF(O181&gt;0,IF(S236=$Y$260,IF(AND(I240&lt;I235,I240&gt;I234),I240-1,I235),IF(S236=$Z$260,MIN(I234+1,I235),I235)),"")</f>
        <v>0</v>
      </c>
      <c r="G181" s="180"/>
      <c r="H181" s="180"/>
      <c r="I181" s="180"/>
      <c r="O181" s="288">
        <v>1</v>
      </c>
      <c r="AA181" s="55" t="str">
        <f t="shared" ca="1" si="32"/>
        <v>Lohnfortzahlung bis</v>
      </c>
      <c r="AJ181" s="55">
        <f>ROW(A$331)</f>
        <v>331</v>
      </c>
    </row>
    <row r="182" spans="1:36" ht="13.8" thickBot="1" x14ac:dyDescent="0.3">
      <c r="A182" s="864" t="str">
        <f t="shared" ca="1" si="26"/>
        <v xml:space="preserve">Lohnfortzahlung für </v>
      </c>
      <c r="B182" s="864"/>
      <c r="C182" s="864"/>
      <c r="D182" s="864"/>
      <c r="E182" s="865"/>
      <c r="F182" s="183" t="str">
        <f>IF(O182&gt;0,'  B  '!C35&amp;", "&amp;'  B  '!C34,"")</f>
        <v xml:space="preserve">, </v>
      </c>
      <c r="G182" s="180"/>
      <c r="H182" s="180"/>
      <c r="I182" s="180"/>
      <c r="M182" s="56"/>
      <c r="O182" s="288">
        <v>1</v>
      </c>
      <c r="AA182" s="55" t="str">
        <f t="shared" ca="1" si="32"/>
        <v xml:space="preserve">Lohnfortzahlung für </v>
      </c>
    </row>
    <row r="183" spans="1:36" ht="13.8" thickBot="1" x14ac:dyDescent="0.3">
      <c r="A183" s="864" t="str">
        <f t="shared" ca="1" si="26"/>
        <v>Lohnfortzahlung Nächte</v>
      </c>
      <c r="B183" s="864"/>
      <c r="C183" s="864"/>
      <c r="D183" s="864"/>
      <c r="E183" s="865"/>
      <c r="F183" s="182">
        <f>SUM(I242)</f>
        <v>0</v>
      </c>
      <c r="G183" s="180"/>
      <c r="H183" s="180"/>
      <c r="I183" s="180"/>
      <c r="O183" s="288">
        <v>1</v>
      </c>
      <c r="AA183" s="55" t="str">
        <f t="shared" ca="1" si="32"/>
        <v>Lohnfortzahlung Nächte</v>
      </c>
    </row>
    <row r="184" spans="1:36" ht="13.8" thickBot="1" x14ac:dyDescent="0.3">
      <c r="A184" s="864" t="str">
        <f t="shared" ca="1" si="26"/>
        <v>Lohnfortzahlung Stunden</v>
      </c>
      <c r="B184" s="864"/>
      <c r="C184" s="864"/>
      <c r="D184" s="864"/>
      <c r="E184" s="865"/>
      <c r="F184" s="860">
        <f ca="1">SUMIF($A$264:$A$294,"&lt;="&amp;F181,$I$264:$I$294)-SUMIF($A$264:$A$294,"&lt;"&amp;F180,$I$264:$I$294)</f>
        <v>0</v>
      </c>
      <c r="G184" s="861"/>
      <c r="H184" s="861"/>
      <c r="I184" s="861"/>
      <c r="O184" s="288">
        <v>1</v>
      </c>
      <c r="AA184" s="55" t="str">
        <f t="shared" ca="1" si="32"/>
        <v>Lohnfortzahlung Stunden</v>
      </c>
    </row>
    <row r="185" spans="1:36" ht="13.8" thickBot="1" x14ac:dyDescent="0.3">
      <c r="A185" s="864" t="str">
        <f t="shared" ca="1" si="26"/>
        <v>Grund der Arbeitsunfähigkeit</v>
      </c>
      <c r="B185" s="864"/>
      <c r="C185" s="864"/>
      <c r="D185" s="864"/>
      <c r="E185" s="865"/>
      <c r="F185" s="183">
        <f>IF(O185&gt;0,G236,"")</f>
        <v>0</v>
      </c>
      <c r="G185" s="180"/>
      <c r="H185" s="180"/>
      <c r="I185" s="180"/>
      <c r="O185" s="288">
        <v>1</v>
      </c>
      <c r="AA185" s="55" t="str">
        <f t="shared" ca="1" si="32"/>
        <v>Grund der Arbeitsunfähigkeit</v>
      </c>
    </row>
    <row r="186" spans="1:36" ht="12.6" customHeight="1" thickBot="1" x14ac:dyDescent="0.3">
      <c r="A186" s="864" t="str">
        <f t="shared" ca="1" si="26"/>
        <v>Grund, falls andere</v>
      </c>
      <c r="B186" s="864"/>
      <c r="C186" s="864"/>
      <c r="D186" s="864"/>
      <c r="E186" s="865"/>
      <c r="F186" s="691"/>
      <c r="G186" s="290"/>
      <c r="H186" s="290"/>
      <c r="I186" s="290"/>
      <c r="O186" s="288">
        <v>1</v>
      </c>
      <c r="AA186" s="55" t="str">
        <f t="shared" ca="1" si="32"/>
        <v>Grund, falls andere</v>
      </c>
    </row>
    <row r="187" spans="1:36" customFormat="1" ht="12.6" customHeight="1" thickBot="1" x14ac:dyDescent="0.3">
      <c r="A187" s="864" t="str">
        <f t="shared" ca="1" si="26"/>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2"/>
        <v>Rückerstattung anderer Versicherungen</v>
      </c>
    </row>
    <row r="188" spans="1:36" customFormat="1" ht="12.6" customHeight="1" thickBot="1" x14ac:dyDescent="0.3">
      <c r="A188" s="864" t="str">
        <f t="shared" ca="1" si="26"/>
        <v>Rückerstattung in CHF</v>
      </c>
      <c r="B188" s="864"/>
      <c r="C188" s="864"/>
      <c r="D188" s="864"/>
      <c r="E188" s="865"/>
      <c r="F188" s="182"/>
      <c r="G188" s="180"/>
      <c r="H188" s="180"/>
      <c r="I188" s="180"/>
      <c r="O188" s="288">
        <v>1</v>
      </c>
      <c r="P188" s="55"/>
      <c r="AA188" s="55" t="str">
        <f t="shared" ca="1" si="32"/>
        <v>Rückerstattung in CHF</v>
      </c>
    </row>
    <row r="189" spans="1:36" customFormat="1" ht="12.6" customHeight="1" thickBot="1" x14ac:dyDescent="0.3">
      <c r="A189" s="864" t="str">
        <f t="shared" ca="1" si="26"/>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2"/>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3">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Januar 2024</v>
      </c>
      <c r="L200" s="87"/>
      <c r="N200" s="87"/>
      <c r="O200" s="288">
        <f ca="1">1*NOT(AA200=0)</f>
        <v>1</v>
      </c>
      <c r="AA200" s="64" t="str">
        <f t="shared" ca="1" si="33"/>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3"/>
        <v>1. Ferien der Assistenzperson</v>
      </c>
    </row>
    <row r="202" spans="1:43" ht="27" customHeight="1" x14ac:dyDescent="0.25">
      <c r="A202" s="862" t="str">
        <f ca="1">IF(O202=0,"",IF(O202=1,AA202,P202))</f>
        <v>Ferienguthaben Monatsbeginn</v>
      </c>
      <c r="B202" s="862"/>
      <c r="C202" s="862"/>
      <c r="D202" s="862"/>
      <c r="E202" s="92" t="str">
        <f ca="1">IF(O202&gt;0,AE202,"")</f>
        <v>Kalendertage</v>
      </c>
      <c r="F202" s="308"/>
      <c r="G202" s="308"/>
      <c r="H202" s="645"/>
      <c r="I202" s="147">
        <f ca="1">AT263</f>
        <v>28</v>
      </c>
      <c r="O202" s="288">
        <v>1</v>
      </c>
      <c r="AA202" s="55" t="str">
        <f t="shared" ca="1" si="33"/>
        <v>Ferienguthaben Monatsbeginn</v>
      </c>
      <c r="AE202" s="55" t="str">
        <f ca="1">INDIRECT(ADDRESS(ROW()+N_Offset_M,COLUMN(E202)+(N_SpracheAuswahl)*26,,,"Text"))</f>
        <v>Kalendertage</v>
      </c>
    </row>
    <row r="203" spans="1:43" x14ac:dyDescent="0.25">
      <c r="A203" s="906" t="str">
        <f ca="1">IF(O203=0,"",IF(O203=1,AA203,P203))</f>
        <v>Ferienbeginn</v>
      </c>
      <c r="B203" s="906"/>
      <c r="C203" s="906"/>
      <c r="D203" s="906"/>
      <c r="E203" s="92" t="str">
        <f t="shared" ref="E203:E211" ca="1" si="34">IF(O203&gt;0,AE203,"")</f>
        <v>Datum erster Ferientag</v>
      </c>
      <c r="F203" s="308"/>
      <c r="G203" s="308"/>
      <c r="H203" s="645"/>
      <c r="I203" s="673"/>
      <c r="O203" s="288">
        <f ca="1">1*NOT(AA203=0)</f>
        <v>1</v>
      </c>
      <c r="AA203" s="55" t="str">
        <f t="shared" ca="1" si="33"/>
        <v>Ferienbeginn</v>
      </c>
      <c r="AE203" s="55" t="str">
        <f ca="1">INDIRECT(ADDRESS(ROW()+N_Offset_M,COLUMN(E203)+(N_SpracheAuswahl)*26,,,"Text"))</f>
        <v>Datum erster Ferientag</v>
      </c>
    </row>
    <row r="204" spans="1:43" x14ac:dyDescent="0.25">
      <c r="A204" s="906" t="str">
        <f t="shared" ref="A204:A211" ca="1" si="35">IF(O204=0,"",IF(O204=1,AA204,P204))</f>
        <v>Ferienende</v>
      </c>
      <c r="B204" s="906"/>
      <c r="C204" s="906"/>
      <c r="D204" s="906"/>
      <c r="E204" s="92" t="str">
        <f t="shared" ca="1" si="34"/>
        <v>Datum letzter Ferientag</v>
      </c>
      <c r="F204" s="308"/>
      <c r="G204" s="308"/>
      <c r="H204" s="645"/>
      <c r="I204" s="673"/>
      <c r="O204" s="288">
        <f ca="1">1*NOT(AA204=0)</f>
        <v>1</v>
      </c>
      <c r="AA204" s="55" t="str">
        <f t="shared" ca="1" si="33"/>
        <v>Ferienende</v>
      </c>
      <c r="AE204" s="55" t="str">
        <f ca="1">INDIRECT(ADDRESS(ROW()+N_Offset_M,COLUMN(E204)+(N_SpracheAuswahl)*26,,,"Text"))</f>
        <v>Datum letzter Ferientag</v>
      </c>
    </row>
    <row r="205" spans="1:43" x14ac:dyDescent="0.25">
      <c r="A205" s="906" t="str">
        <f t="shared" si="35"/>
        <v/>
      </c>
      <c r="B205" s="906"/>
      <c r="C205" s="906"/>
      <c r="D205" s="906"/>
      <c r="E205" s="92" t="str">
        <f t="shared" si="34"/>
        <v/>
      </c>
      <c r="F205" s="57"/>
      <c r="G205" s="57"/>
      <c r="H205" s="57"/>
      <c r="I205" s="186"/>
      <c r="O205" s="288">
        <f>1*NOT(AA205=0)</f>
        <v>0</v>
      </c>
    </row>
    <row r="206" spans="1:43" x14ac:dyDescent="0.25">
      <c r="A206" s="906" t="str">
        <f t="shared" ca="1" si="35"/>
        <v>weiter in Zeile  211</v>
      </c>
      <c r="B206" s="906"/>
      <c r="C206" s="906"/>
      <c r="D206" s="906"/>
      <c r="E206" s="92" t="str">
        <f t="shared" si="34"/>
        <v/>
      </c>
      <c r="F206" s="308"/>
      <c r="G206" s="308"/>
      <c r="H206" s="645"/>
      <c r="I206" s="673"/>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5"/>
        <v/>
      </c>
      <c r="B207" s="906"/>
      <c r="C207" s="906"/>
      <c r="D207" s="906"/>
      <c r="E207" s="92" t="str">
        <f t="shared" si="34"/>
        <v/>
      </c>
      <c r="F207" s="308"/>
      <c r="G207" s="308"/>
      <c r="H207" s="645"/>
      <c r="I207" s="673"/>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5"/>
        <v/>
      </c>
      <c r="B208" s="906"/>
      <c r="C208" s="906"/>
      <c r="D208" s="906"/>
      <c r="E208" s="92" t="str">
        <f t="shared" si="34"/>
        <v/>
      </c>
      <c r="F208" s="57"/>
      <c r="G208" s="57"/>
      <c r="H208" s="57"/>
      <c r="I208" s="186"/>
      <c r="O208" s="288">
        <f>1*NOT(AA208=0)</f>
        <v>0</v>
      </c>
    </row>
    <row r="209" spans="1:36" x14ac:dyDescent="0.25">
      <c r="A209" s="906" t="str">
        <f t="shared" si="35"/>
        <v/>
      </c>
      <c r="B209" s="906"/>
      <c r="C209" s="906"/>
      <c r="D209" s="906"/>
      <c r="E209" s="92" t="str">
        <f t="shared" si="34"/>
        <v/>
      </c>
      <c r="F209" s="308"/>
      <c r="G209" s="308"/>
      <c r="H209" s="645"/>
      <c r="I209" s="673"/>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5"/>
        <v/>
      </c>
      <c r="B210" s="906"/>
      <c r="C210" s="906"/>
      <c r="D210" s="906"/>
      <c r="E210" s="92" t="str">
        <f t="shared" si="34"/>
        <v/>
      </c>
      <c r="F210" s="308"/>
      <c r="G210" s="308"/>
      <c r="H210" s="645"/>
      <c r="I210" s="673"/>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5"/>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874" t="str">
        <f ca="1">IF(O212=0,"",IF(O212=1,AA212,P212))</f>
        <v>Art 324a: Arbeitsvertrag, OR, Berner Skala und Taggeldversicherungen sind bei den Eingaben der Nächte mit zu berücksichtigen.</v>
      </c>
      <c r="B212" s="874"/>
      <c r="C212" s="874"/>
      <c r="D212" s="874"/>
      <c r="E212" s="874"/>
      <c r="F212" s="874"/>
      <c r="G212" s="874"/>
      <c r="H212" s="874"/>
      <c r="I212" s="874"/>
      <c r="J212" s="874"/>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6">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6"/>
        <v>Abwesenheit Beginn</v>
      </c>
      <c r="AE214" s="55" t="str">
        <f t="shared" ref="AE214:AE222" ca="1" si="37">INDIRECT(ADDRESS(ROW()+N_Offset_M,COLUMN(E214)+(N_SpracheAuswahl)*26,,,"Text"))</f>
        <v>Datum erster Tag</v>
      </c>
    </row>
    <row r="215" spans="1:36" x14ac:dyDescent="0.25">
      <c r="A215" s="906" t="str">
        <f t="shared" ref="A215:A242" ca="1" si="38">IF(O215=0,"",IF(O215=1,AA215,P215))</f>
        <v>Abwesenheit Ende</v>
      </c>
      <c r="B215" s="906"/>
      <c r="C215" s="906"/>
      <c r="D215" s="906"/>
      <c r="E215" s="92" t="str">
        <f t="shared" ref="E215:E242" ca="1" si="39">IF(O215&gt;0,AE215,"")</f>
        <v>Datum letzter Tag (in diesem Monat)</v>
      </c>
      <c r="F215" s="308"/>
      <c r="G215" s="57"/>
      <c r="H215" s="57"/>
      <c r="I215" s="185"/>
      <c r="O215" s="288">
        <f ca="1">1*NOT(AA215=0)</f>
        <v>1</v>
      </c>
      <c r="P215" s="56"/>
      <c r="AA215" s="55" t="str">
        <f t="shared" ca="1" si="36"/>
        <v>Abwesenheit Ende</v>
      </c>
      <c r="AE215" s="55" t="str">
        <f t="shared" ca="1" si="37"/>
        <v>Datum letzter Tag (in diesem Monat)</v>
      </c>
    </row>
    <row r="216" spans="1:36" ht="27" customHeight="1" x14ac:dyDescent="0.25">
      <c r="A216" s="908" t="str">
        <f t="shared" ca="1" si="38"/>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6"/>
        <v>Grund für Abwesenheit</v>
      </c>
      <c r="AE216" s="55" t="str">
        <f t="shared" ca="1" si="37"/>
        <v>Auswahl in Spalte G-I</v>
      </c>
    </row>
    <row r="217" spans="1:36" ht="25.2" customHeight="1" x14ac:dyDescent="0.25">
      <c r="A217" s="920" t="str">
        <f ca="1">IF(O217=0,"",IF(O217=1,AA217,IF(O217=2,AI217&amp;" "&amp;AJ217,P217)))</f>
        <v/>
      </c>
      <c r="B217" s="920"/>
      <c r="C217" s="920"/>
      <c r="D217" s="920"/>
      <c r="E217" s="650" t="str">
        <f t="shared" ca="1" si="39"/>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6"/>
        <v>Art des Unfalls</v>
      </c>
      <c r="AE217" s="55" t="str">
        <f t="shared" ca="1" si="37"/>
        <v>Auswahl in Spalte G-I</v>
      </c>
      <c r="AI217" s="55" t="str">
        <f t="shared" ref="AI217" ca="1" si="40">INDIRECT(ADDRESS(ROW()+N_Offset_M,COLUMN(I217)+(N_SpracheAuswahl)*26,,,"Text"))</f>
        <v>Siehe Hinweis in Zeile</v>
      </c>
      <c r="AJ217" s="55">
        <f>ROW(A$331)</f>
        <v>331</v>
      </c>
    </row>
    <row r="218" spans="1:36" ht="27" customHeight="1" x14ac:dyDescent="0.25">
      <c r="A218" s="882" t="str">
        <f t="shared" ca="1" si="38"/>
        <v/>
      </c>
      <c r="B218" s="882"/>
      <c r="C218" s="882"/>
      <c r="D218" s="882"/>
      <c r="E218" s="650" t="str">
        <f t="shared" ca="1" si="39"/>
        <v/>
      </c>
      <c r="F218" s="677"/>
      <c r="G218" s="917"/>
      <c r="H218" s="918"/>
      <c r="I218" s="919"/>
      <c r="O218" s="288">
        <f ca="1">IF(AND(I214&gt;0,OR(S216=5,S216=6)),1*NOT(AA218=0),0)</f>
        <v>0</v>
      </c>
      <c r="P218" s="56"/>
      <c r="AA218" s="55" t="str">
        <f t="shared" ca="1" si="36"/>
        <v>Ausgelöst durch früheres Ereignis?</v>
      </c>
      <c r="AE218" s="55" t="str">
        <f t="shared" ca="1" si="37"/>
        <v>Auswahl in Spalte G-I</v>
      </c>
    </row>
    <row r="219" spans="1:36" x14ac:dyDescent="0.25">
      <c r="A219" s="906" t="str">
        <f t="shared" si="38"/>
        <v/>
      </c>
      <c r="B219" s="906"/>
      <c r="C219" s="906"/>
      <c r="D219" s="906"/>
      <c r="E219" s="92" t="str">
        <f t="shared" si="39"/>
        <v/>
      </c>
      <c r="F219" s="308"/>
      <c r="G219" s="57"/>
      <c r="H219" s="57"/>
      <c r="I219" s="187"/>
      <c r="O219" s="288">
        <f>IF(I214&gt;0,1*NOT(AA219=0),0)</f>
        <v>0</v>
      </c>
      <c r="P219" s="56"/>
      <c r="AA219" s="55" t="str">
        <f t="shared" ca="1" si="36"/>
        <v>Arbeitsunfähigkeit, Ausmass</v>
      </c>
      <c r="AE219" s="55" t="str">
        <f t="shared" ca="1" si="37"/>
        <v>% gemäss Arztzeugnis</v>
      </c>
    </row>
    <row r="220" spans="1:36" ht="27" customHeight="1" x14ac:dyDescent="0.25">
      <c r="A220" s="862" t="str">
        <f t="shared" si="38"/>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6"/>
        <v>Rückerstattung KTG durch Versicherung ab</v>
      </c>
      <c r="AE220" s="55" t="str">
        <f t="shared" ca="1" si="37"/>
        <v>Datum erster Tag</v>
      </c>
      <c r="AG220" s="55" t="str">
        <f ca="1">INDIRECT(ADDRESS(ROW()+N_Offset_M,COLUMN(G220)+(N_SpracheAuswahl)*26,,,"Text"))</f>
        <v>(Wartefrist</v>
      </c>
    </row>
    <row r="221" spans="1:36" ht="27" customHeight="1" x14ac:dyDescent="0.25">
      <c r="A221" s="862" t="str">
        <f t="shared" si="38"/>
        <v/>
      </c>
      <c r="B221" s="862"/>
      <c r="C221" s="862"/>
      <c r="D221" s="862"/>
      <c r="E221" s="916" t="str">
        <f t="shared" si="39"/>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6"/>
        <v>KTG-Versicherung läuft aus am (=Ende Lohnfortzahlung)</v>
      </c>
      <c r="AE221" s="55" t="str">
        <f t="shared" ca="1" si="37"/>
        <v>Datum letzter Tag (offen lassen wenn nicht in diesem Monat)</v>
      </c>
      <c r="AG221" s="55" t="str">
        <f ca="1">INDIRECT(ADDRESS(ROW()+N_Offset_M,COLUMN(G221)+(N_SpracheAuswahl)*26,,,"Text"))</f>
        <v>(Dauer</v>
      </c>
    </row>
    <row r="222" spans="1:36" x14ac:dyDescent="0.25">
      <c r="A222" s="862" t="str">
        <f t="shared" ref="A222" si="41">IF(O222=0,"",IF(O222=1,AA222,P222))</f>
        <v/>
      </c>
      <c r="B222" s="862"/>
      <c r="C222" s="862"/>
      <c r="D222" s="862"/>
      <c r="E222" s="73" t="str">
        <f t="shared" si="39"/>
        <v/>
      </c>
      <c r="F222" s="823"/>
      <c r="G222" s="148"/>
      <c r="H222" s="148"/>
      <c r="I222" s="824"/>
      <c r="O222" s="288">
        <f>IF(I214&gt;0,1*NOT(AA222=0),0)</f>
        <v>0</v>
      </c>
      <c r="P222" s="56"/>
      <c r="AA222" s="55" t="str">
        <f t="shared" ca="1" si="36"/>
        <v>Nächte</v>
      </c>
      <c r="AE222" s="55" t="str">
        <f t="shared" ca="1" si="37"/>
        <v>Anzahl</v>
      </c>
    </row>
    <row r="223" spans="1:36" x14ac:dyDescent="0.25">
      <c r="A223" s="833"/>
      <c r="B223" s="148"/>
      <c r="C223" s="148"/>
      <c r="D223" s="148"/>
      <c r="E223" s="831"/>
      <c r="F223" s="651"/>
      <c r="G223" s="148"/>
      <c r="H223" s="148"/>
      <c r="I223" s="832"/>
      <c r="O223" s="288"/>
      <c r="P223" s="56"/>
    </row>
    <row r="224" spans="1:36" ht="13.2" customHeight="1" x14ac:dyDescent="0.25">
      <c r="A224" s="915" t="str">
        <f t="shared" ca="1" si="38"/>
        <v>weiter in Zeile  244</v>
      </c>
      <c r="B224" s="915"/>
      <c r="C224" s="915"/>
      <c r="D224" s="915"/>
      <c r="E224" s="827" t="str">
        <f t="shared" si="39"/>
        <v/>
      </c>
      <c r="F224" s="828"/>
      <c r="G224" s="829"/>
      <c r="H224" s="829"/>
      <c r="I224" s="830"/>
      <c r="J224" s="1"/>
      <c r="O224" s="288">
        <f>IF(AND(I$214&gt;0,I$215&gt;0),1*NOT(AA224=0),-1)</f>
        <v>-1</v>
      </c>
      <c r="P224" s="289" t="str">
        <f ca="1">B_WeiterInZeile&amp;" "&amp;ROW(A$244)</f>
        <v>weiter in Zeile  244</v>
      </c>
      <c r="AA224" s="55" t="str">
        <f t="shared" ref="AA224:AA231" ca="1" si="42">INDIRECT(ADDRESS(ROW()+N_Offset_M,COLUMN(A224)+(N_SpracheAuswahl)*26,,,"Text"))</f>
        <v>Abwesenheit Beginn</v>
      </c>
      <c r="AE224" s="55" t="str">
        <f t="shared" ref="AE224:AE231" ca="1" si="43">INDIRECT(ADDRESS(ROW()+N_Offset_M,COLUMN(E224)+(N_SpracheAuswahl)*26,,,"Text"))</f>
        <v>Datum erster Tag</v>
      </c>
    </row>
    <row r="225" spans="1:36" x14ac:dyDescent="0.25">
      <c r="A225" s="906" t="str">
        <f t="shared" si="38"/>
        <v/>
      </c>
      <c r="B225" s="906"/>
      <c r="C225" s="906"/>
      <c r="D225" s="906"/>
      <c r="E225" s="92" t="str">
        <f t="shared" si="39"/>
        <v/>
      </c>
      <c r="F225" s="308"/>
      <c r="G225" s="57"/>
      <c r="H225" s="57"/>
      <c r="I225" s="185"/>
      <c r="O225" s="288">
        <f>IF(AND(I$214&gt;0,I$215&gt;0),1*NOT(AA225=0),0)</f>
        <v>0</v>
      </c>
      <c r="P225" s="56"/>
      <c r="AA225" s="55" t="str">
        <f t="shared" ca="1" si="42"/>
        <v>Abwesenheit Ende</v>
      </c>
      <c r="AE225" s="55" t="str">
        <f t="shared" ca="1" si="43"/>
        <v>Datum letzter Tag (in diesem Monat)</v>
      </c>
    </row>
    <row r="226" spans="1:36" ht="27" customHeight="1" x14ac:dyDescent="0.25">
      <c r="A226" s="906" t="str">
        <f t="shared" ref="A226" ca="1" si="44">IF(O226=0,"",IF(O226=1,AA226,P226))</f>
        <v>weiter in Zeile  244</v>
      </c>
      <c r="B226" s="906"/>
      <c r="C226" s="906"/>
      <c r="D226" s="906"/>
      <c r="E226" s="652" t="str">
        <f t="shared" si="39"/>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2"/>
        <v>Grund für Abwesenheit</v>
      </c>
      <c r="AE226" s="55" t="str">
        <f t="shared" ca="1" si="43"/>
        <v>Auswahl in Spalte G-I</v>
      </c>
    </row>
    <row r="227" spans="1:36" ht="25.2" customHeight="1" x14ac:dyDescent="0.25">
      <c r="A227" s="914" t="str">
        <f ca="1">IF(O227=0,"",IF(O227=1,AA227,IF(O227=2,AI227&amp;" "&amp;AJ227,P227)))</f>
        <v/>
      </c>
      <c r="B227" s="914"/>
      <c r="C227" s="914"/>
      <c r="D227" s="914"/>
      <c r="E227" s="652" t="str">
        <f t="shared" ref="E227" ca="1" si="45">IF(O227&gt;0,AE227,"")</f>
        <v/>
      </c>
      <c r="F227" s="645"/>
      <c r="G227" s="903"/>
      <c r="H227" s="904"/>
      <c r="I227" s="905"/>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2"/>
        <v>Art des Unfalls</v>
      </c>
      <c r="AE227" s="55" t="str">
        <f t="shared" ca="1" si="43"/>
        <v>Auswahl in Spalte G-I</v>
      </c>
      <c r="AI227" s="55" t="str">
        <f t="shared" ref="AI227" ca="1" si="46">INDIRECT(ADDRESS(ROW()+N_Offset_M,COLUMN(I227)+(N_SpracheAuswahl)*26,,,"Text"))</f>
        <v>Siehe Hinweis in Zeile</v>
      </c>
      <c r="AJ227" s="55">
        <f>ROW(A$331)</f>
        <v>331</v>
      </c>
    </row>
    <row r="228" spans="1:36" ht="27" customHeight="1" x14ac:dyDescent="0.25">
      <c r="A228" s="882" t="str">
        <f t="shared" ca="1" si="38"/>
        <v/>
      </c>
      <c r="B228" s="882"/>
      <c r="C228" s="882"/>
      <c r="D228" s="882"/>
      <c r="E228" s="650" t="str">
        <f t="shared" ca="1" si="39"/>
        <v/>
      </c>
      <c r="F228" s="677"/>
      <c r="G228" s="910"/>
      <c r="H228" s="911"/>
      <c r="I228" s="912"/>
      <c r="O228" s="288">
        <f ca="1">IF(AND(I224&gt;0,OR(S226=5,S226=6)),1*NOT(AA228=0),0)</f>
        <v>0</v>
      </c>
      <c r="P228" s="56"/>
      <c r="AA228" s="55" t="str">
        <f t="shared" ca="1" si="42"/>
        <v>Ausgelöst durch früheres Ereignis?</v>
      </c>
      <c r="AE228" s="55" t="str">
        <f t="shared" ca="1" si="43"/>
        <v>Auswahl in Spalte G-I</v>
      </c>
    </row>
    <row r="229" spans="1:36" x14ac:dyDescent="0.25">
      <c r="A229" s="906" t="str">
        <f t="shared" si="38"/>
        <v/>
      </c>
      <c r="B229" s="906"/>
      <c r="C229" s="906"/>
      <c r="D229" s="906"/>
      <c r="E229" s="92" t="str">
        <f t="shared" si="39"/>
        <v/>
      </c>
      <c r="F229" s="308"/>
      <c r="G229" s="57"/>
      <c r="H229" s="57"/>
      <c r="I229" s="187"/>
      <c r="O229" s="288">
        <f>IF(I224&gt;0,1*NOT(AA229=0),0)</f>
        <v>0</v>
      </c>
      <c r="P229" s="56"/>
      <c r="AA229" s="55" t="str">
        <f t="shared" ca="1" si="42"/>
        <v>Arbeitsunfähigkeit, Ausmass</v>
      </c>
      <c r="AE229" s="55" t="str">
        <f t="shared" ca="1" si="43"/>
        <v>% gemäss Arztzeugnis</v>
      </c>
    </row>
    <row r="230" spans="1:36" ht="27" customHeight="1" x14ac:dyDescent="0.25">
      <c r="A230" s="862" t="str">
        <f t="shared" si="38"/>
        <v/>
      </c>
      <c r="B230" s="862"/>
      <c r="C230" s="862"/>
      <c r="D230" s="862"/>
      <c r="E230" s="73" t="str">
        <f t="shared" si="39"/>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2"/>
        <v>Rückerstattung KTG durch Versicherung ab</v>
      </c>
      <c r="AE230" s="55" t="str">
        <f t="shared" ca="1" si="43"/>
        <v>Datum erster Tag</v>
      </c>
      <c r="AG230" s="55" t="str">
        <f ca="1">INDIRECT(ADDRESS(ROW()+N_Offset_M,COLUMN(G230)+(N_SpracheAuswahl)*26,,,"Text"))</f>
        <v>(Wartefrist</v>
      </c>
    </row>
    <row r="231" spans="1:36" ht="27" customHeight="1" x14ac:dyDescent="0.25">
      <c r="A231" s="862" t="str">
        <f t="shared" si="38"/>
        <v/>
      </c>
      <c r="B231" s="862"/>
      <c r="C231" s="862"/>
      <c r="D231" s="862"/>
      <c r="E231" s="916" t="str">
        <f t="shared" si="39"/>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2"/>
        <v>KTG-Versicherung läuft aus am (=Ende Lohnfortzahlung)</v>
      </c>
      <c r="AE231" s="55" t="str">
        <f t="shared" ca="1" si="43"/>
        <v>Datum letzter Tag (offen lassen wenn nicht in diesem Monat)</v>
      </c>
      <c r="AG231" s="55" t="str">
        <f ca="1">INDIRECT(ADDRESS(ROW()+N_Offset_M,COLUMN(G231)+(N_SpracheAuswahl)*26,,,"Text"))</f>
        <v>(Dauer</v>
      </c>
    </row>
    <row r="232" spans="1:36" ht="13.2" customHeight="1" x14ac:dyDescent="0.25">
      <c r="A232" s="862" t="str">
        <f t="shared" ref="A232" si="47">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 t="shared" si="38"/>
        <v/>
      </c>
      <c r="B234" s="906"/>
      <c r="C234" s="906"/>
      <c r="D234" s="906"/>
      <c r="E234" s="92" t="str">
        <f t="shared" si="39"/>
        <v/>
      </c>
      <c r="F234" s="308"/>
      <c r="G234" s="57"/>
      <c r="H234" s="57"/>
      <c r="I234" s="185"/>
      <c r="O234" s="288">
        <f>IF(O226&lt;1,0,IF(AND(I$224&gt;0,I$225&gt;0),1*NOT(AA234=0),-1))</f>
        <v>0</v>
      </c>
      <c r="P234" s="289" t="str">
        <f ca="1">B_WeiterInZeile&amp;" "&amp;ROW(A$244)</f>
        <v>weiter in Zeile  244</v>
      </c>
      <c r="AA234" s="55" t="str">
        <f t="shared" ref="AA234:AA243" ca="1" si="48">INDIRECT(ADDRESS(ROW()+N_Offset_M,COLUMN(A234)+(N_SpracheAuswahl)*26,,,"Text"))</f>
        <v>Abwesenheit Beginn</v>
      </c>
      <c r="AE234" s="55" t="str">
        <f t="shared" ref="AE234:AE242" ca="1" si="49">INDIRECT(ADDRESS(ROW()+N_Offset_M,COLUMN(E234)+(N_SpracheAuswahl)*26,,,"Text"))</f>
        <v>Datum erster Tag</v>
      </c>
    </row>
    <row r="235" spans="1:36" x14ac:dyDescent="0.25">
      <c r="A235" s="906" t="str">
        <f t="shared" si="38"/>
        <v/>
      </c>
      <c r="B235" s="906"/>
      <c r="C235" s="906"/>
      <c r="D235" s="906"/>
      <c r="E235" s="92" t="str">
        <f t="shared" si="39"/>
        <v/>
      </c>
      <c r="F235" s="308"/>
      <c r="G235" s="57"/>
      <c r="H235" s="57"/>
      <c r="I235" s="185"/>
      <c r="O235" s="288">
        <f>IF(AND(I$224&gt;0,I$225&gt;0),1*NOT(AA235=0),0)</f>
        <v>0</v>
      </c>
      <c r="P235" s="56"/>
      <c r="AA235" s="55" t="str">
        <f t="shared" ca="1" si="48"/>
        <v>Abwesenheit Ende</v>
      </c>
      <c r="AE235" s="55" t="str">
        <f t="shared" ca="1" si="49"/>
        <v>Datum letzter Tag (in diesem Monat)</v>
      </c>
    </row>
    <row r="236" spans="1:36" ht="27" customHeight="1" x14ac:dyDescent="0.25">
      <c r="A236" s="908" t="str">
        <f t="shared" si="38"/>
        <v/>
      </c>
      <c r="B236" s="908"/>
      <c r="C236" s="908"/>
      <c r="D236" s="908"/>
      <c r="E236" s="652" t="str">
        <f t="shared" si="39"/>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8"/>
        <v>Grund für Abwesenheit</v>
      </c>
      <c r="AE236" s="55" t="str">
        <f t="shared" ca="1" si="49"/>
        <v>Auswahl in Spalte G-I</v>
      </c>
    </row>
    <row r="237" spans="1:36" ht="25.2" customHeight="1" x14ac:dyDescent="0.25">
      <c r="A237" s="907" t="str">
        <f ca="1">IF(O237=0,"",IF(O237=1,AA237,IF(O237=2,AI237&amp;" "&amp;AJ237,P237)))</f>
        <v/>
      </c>
      <c r="B237" s="907"/>
      <c r="C237" s="907"/>
      <c r="D237" s="907"/>
      <c r="E237" s="652" t="str">
        <f t="shared" ca="1" si="39"/>
        <v/>
      </c>
      <c r="F237" s="645"/>
      <c r="G237" s="903" t="str">
        <f ca="1">IF(O237=1,Text!I$68,"")</f>
        <v/>
      </c>
      <c r="H237" s="904"/>
      <c r="I237" s="905"/>
      <c r="L237" s="87"/>
      <c r="O237" s="288">
        <f ca="1">IF(AND(I234&gt;0,S236=6),1*NOT(AA237=0),IF(AND(I234&gt;0,S236=9),2*NOT(AA237=0),0))</f>
        <v>0</v>
      </c>
      <c r="P237" s="56"/>
      <c r="S237" s="56">
        <f ca="1">IF(ISERROR(VLOOKUP(G237,A_ArtUnfall_Auswahl,2,0)),0,VLOOKUP(G237,A_ArtUnfall_Auswahl,2,0)-1)*(N_Pensum&lt;8/N_WochenAZ_100Prozent)</f>
        <v>0</v>
      </c>
      <c r="AA237" s="55" t="str">
        <f t="shared" ca="1" si="48"/>
        <v>Art des Unfalls</v>
      </c>
      <c r="AE237" s="55" t="str">
        <f t="shared" ca="1" si="49"/>
        <v>Auswahl in Spalte G-I</v>
      </c>
      <c r="AI237" s="55" t="str">
        <f t="shared" ref="AI237" ca="1" si="50">INDIRECT(ADDRESS(ROW()+N_Offset_M,COLUMN(I237)+(N_SpracheAuswahl)*26,,,"Text"))</f>
        <v>Siehe Hinweis in Zeile</v>
      </c>
      <c r="AJ237" s="55">
        <f>ROW(A$331)</f>
        <v>331</v>
      </c>
    </row>
    <row r="238" spans="1:36" ht="27" customHeight="1" x14ac:dyDescent="0.25">
      <c r="A238" s="882" t="str">
        <f t="shared" ca="1" si="38"/>
        <v/>
      </c>
      <c r="B238" s="882"/>
      <c r="C238" s="882"/>
      <c r="D238" s="882"/>
      <c r="E238" s="650" t="str">
        <f t="shared" ca="1" si="39"/>
        <v/>
      </c>
      <c r="F238" s="677"/>
      <c r="G238" s="910"/>
      <c r="H238" s="911"/>
      <c r="I238" s="912"/>
      <c r="O238" s="288">
        <f ca="1">IF(AND(I234&gt;0,OR(S236=5,S236=6)),1*NOT(AA238=0),0)</f>
        <v>0</v>
      </c>
      <c r="P238" s="56"/>
      <c r="AA238" s="55" t="str">
        <f t="shared" ca="1" si="48"/>
        <v>Ausgelöst durch früheres Ereignis?</v>
      </c>
      <c r="AE238" s="55" t="str">
        <f t="shared" ca="1" si="49"/>
        <v>Auswahl in Spalte G-I</v>
      </c>
    </row>
    <row r="239" spans="1:36" x14ac:dyDescent="0.25">
      <c r="A239" s="906" t="str">
        <f t="shared" si="38"/>
        <v/>
      </c>
      <c r="B239" s="906"/>
      <c r="C239" s="906"/>
      <c r="D239" s="906"/>
      <c r="E239" s="92" t="str">
        <f t="shared" si="39"/>
        <v/>
      </c>
      <c r="F239" s="308"/>
      <c r="G239" s="57"/>
      <c r="H239" s="57"/>
      <c r="I239" s="187"/>
      <c r="O239" s="288">
        <f>IF(I234&gt;0,1*NOT(AA239=0),0)</f>
        <v>0</v>
      </c>
      <c r="P239" s="56"/>
      <c r="AA239" s="55" t="str">
        <f t="shared" ca="1" si="48"/>
        <v>Arbeitsunfähigkeit, Ausmass</v>
      </c>
      <c r="AE239" s="55" t="str">
        <f t="shared" ca="1" si="49"/>
        <v>% gemäss Arztzeugnis</v>
      </c>
    </row>
    <row r="240" spans="1:36" ht="27" customHeight="1" x14ac:dyDescent="0.25">
      <c r="A240" s="862" t="str">
        <f t="shared" si="38"/>
        <v/>
      </c>
      <c r="B240" s="862"/>
      <c r="C240" s="862"/>
      <c r="D240" s="862"/>
      <c r="E240" s="73" t="str">
        <f t="shared" si="39"/>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8"/>
        <v>Rückerstattung KTG durch Versicherung ab</v>
      </c>
      <c r="AE240" s="55" t="str">
        <f t="shared" ca="1" si="49"/>
        <v>Datum erster Tag</v>
      </c>
      <c r="AG240" s="55" t="str">
        <f ca="1">INDIRECT(ADDRESS(ROW()+N_Offset_M,COLUMN(G240)+(N_SpracheAuswahl)*26,,,"Text"))</f>
        <v>(Wartefrist</v>
      </c>
    </row>
    <row r="241" spans="1:108" ht="27" customHeight="1" x14ac:dyDescent="0.25">
      <c r="A241" s="862" t="str">
        <f t="shared" si="38"/>
        <v/>
      </c>
      <c r="B241" s="862"/>
      <c r="C241" s="862"/>
      <c r="D241" s="862"/>
      <c r="E241" s="916" t="str">
        <f t="shared" si="39"/>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8"/>
        <v>KTG-Versicherung läuft aus am (=Ende Lohnfortzahlung)</v>
      </c>
      <c r="AE241" s="55" t="str">
        <f t="shared" ca="1" si="49"/>
        <v>Datum letzter Tag (offen lassen wenn nicht in diesem Monat)</v>
      </c>
      <c r="AG241" s="55" t="str">
        <f ca="1">INDIRECT(ADDRESS(ROW()+N_Offset_M,COLUMN(G241)+(N_SpracheAuswahl)*26,,,"Text"))</f>
        <v>(Dauer</v>
      </c>
    </row>
    <row r="242" spans="1:108" x14ac:dyDescent="0.25">
      <c r="A242" s="730" t="str">
        <f t="shared" si="38"/>
        <v/>
      </c>
      <c r="B242" s="730"/>
      <c r="C242" s="730"/>
      <c r="D242" s="730"/>
      <c r="E242" s="730" t="str">
        <f t="shared" si="39"/>
        <v/>
      </c>
      <c r="F242" s="730"/>
      <c r="G242" s="730"/>
      <c r="H242" s="825"/>
      <c r="I242" s="820"/>
      <c r="O242" s="288">
        <f>IF(I234&gt;0,1*NOT(AA242=0),0)</f>
        <v>0</v>
      </c>
      <c r="P242" s="56"/>
      <c r="AA242" s="84" t="str">
        <f t="shared" ca="1" si="48"/>
        <v>Nächte</v>
      </c>
      <c r="AE242" s="55" t="str">
        <f t="shared" ca="1" si="49"/>
        <v>Anzahl</v>
      </c>
    </row>
    <row r="243" spans="1:108" x14ac:dyDescent="0.25">
      <c r="A243" s="963" t="str">
        <f ca="1">AA243</f>
        <v>Die Vorgaben von Arbeitsvertrag, OR und IV sind einzuhalten</v>
      </c>
      <c r="B243" s="963"/>
      <c r="C243" s="963"/>
      <c r="D243" s="963"/>
      <c r="E243" s="963"/>
      <c r="F243" s="963"/>
      <c r="G243" s="963"/>
      <c r="H243" s="963"/>
      <c r="I243" s="963"/>
      <c r="J243" s="963"/>
      <c r="O243" s="288">
        <v>1</v>
      </c>
      <c r="P243" s="56"/>
      <c r="AA243" s="84" t="str">
        <f t="shared" ca="1" si="48"/>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1">1*NOT(AA244=0)</f>
        <v>1</v>
      </c>
      <c r="P244" s="56"/>
      <c r="AA244" s="55" t="str">
        <f t="shared" ref="AA244:AA248" ca="1" si="52">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1"/>
        <v>1</v>
      </c>
      <c r="P245" s="56"/>
      <c r="AA245" s="55" t="str">
        <f t="shared" ca="1" si="52"/>
        <v>(behinderte Person kann Leistung nicht entgegennehmen) (Art. 324 OR)</v>
      </c>
    </row>
    <row r="246" spans="1:108" x14ac:dyDescent="0.25">
      <c r="A246" s="909" t="str">
        <f ca="1">IF(O246=0,"",IF(O246=1,AA246,P246))</f>
        <v>Verhinderung, Beginn</v>
      </c>
      <c r="B246" s="909"/>
      <c r="C246" s="909"/>
      <c r="D246" s="909"/>
      <c r="E246" s="92" t="str">
        <f ca="1">IF(O246&gt;0,AE246,"")</f>
        <v>Datum erster Tag</v>
      </c>
      <c r="F246" s="680"/>
      <c r="G246" s="680"/>
      <c r="H246" s="681"/>
      <c r="I246" s="185"/>
      <c r="J246" s="63"/>
      <c r="K246" s="63"/>
      <c r="L246" s="63"/>
      <c r="O246" s="288">
        <f t="shared" ca="1" si="51"/>
        <v>1</v>
      </c>
      <c r="P246" s="56"/>
      <c r="AA246" s="55" t="str">
        <f t="shared" ca="1" si="52"/>
        <v>Verhinderung, Beginn</v>
      </c>
      <c r="AE246" s="55" t="str">
        <f ca="1">INDIRECT(ADDRESS(ROW()+N_Offset_M,COLUMN(E246)+(N_SpracheAuswahl)*26,,,"Text"))</f>
        <v>Datum erster Tag</v>
      </c>
    </row>
    <row r="247" spans="1:108" x14ac:dyDescent="0.25">
      <c r="A247" s="909" t="str">
        <f t="shared" ref="A247:A254" ca="1" si="53">IF(O247=0,"",IF(O247=1,AA247,P247))</f>
        <v>Verhinderung Ende</v>
      </c>
      <c r="B247" s="909"/>
      <c r="C247" s="909"/>
      <c r="D247" s="909"/>
      <c r="E247" s="92" t="str">
        <f t="shared" ref="E247:E254" ca="1" si="54">IF(O247&gt;0,AE247,"")</f>
        <v>Datum letzter Tag</v>
      </c>
      <c r="F247" s="680"/>
      <c r="G247" s="680"/>
      <c r="H247" s="681"/>
      <c r="I247" s="185"/>
      <c r="J247" s="63"/>
      <c r="K247" s="63"/>
      <c r="L247" s="63"/>
      <c r="O247" s="288">
        <f t="shared" ca="1" si="51"/>
        <v>1</v>
      </c>
      <c r="P247" s="56"/>
      <c r="AA247" s="55" t="str">
        <f t="shared" ca="1" si="52"/>
        <v>Verhinderung Ende</v>
      </c>
      <c r="AE247" s="55" t="str">
        <f ca="1">INDIRECT(ADDRESS(ROW()+N_Offset_M,COLUMN(E247)+(N_SpracheAuswahl)*26,,,"Text"))</f>
        <v>Datum letzter Tag</v>
      </c>
    </row>
    <row r="248" spans="1:108" x14ac:dyDescent="0.25">
      <c r="A248" s="909" t="str">
        <f t="shared" ca="1" si="53"/>
        <v>Nächte</v>
      </c>
      <c r="B248" s="909"/>
      <c r="C248" s="909"/>
      <c r="D248" s="909"/>
      <c r="E248" s="92" t="str">
        <f t="shared" ca="1" si="54"/>
        <v>Anzahl</v>
      </c>
      <c r="F248" s="308"/>
      <c r="G248" s="308"/>
      <c r="H248" s="308"/>
      <c r="I248" s="820"/>
      <c r="J248" s="63"/>
      <c r="K248" s="63"/>
      <c r="L248" s="63"/>
      <c r="O248" s="288">
        <f t="shared" ca="1" si="51"/>
        <v>1</v>
      </c>
      <c r="P248" s="56"/>
      <c r="AA248" s="55" t="str">
        <f t="shared" ca="1" si="52"/>
        <v>Nächte</v>
      </c>
      <c r="AE248" s="55" t="str">
        <f ca="1">INDIRECT(ADDRESS(ROW()+N_Offset_M,COLUMN(E248)+(N_SpracheAuswahl)*26,,,"Text"))</f>
        <v>Anzahl</v>
      </c>
    </row>
    <row r="249" spans="1:108" x14ac:dyDescent="0.25">
      <c r="A249" s="909" t="str">
        <f t="shared" si="53"/>
        <v/>
      </c>
      <c r="B249" s="909"/>
      <c r="C249" s="909"/>
      <c r="D249" s="909"/>
      <c r="E249" s="92" t="str">
        <f t="shared" si="54"/>
        <v/>
      </c>
      <c r="F249" s="680"/>
      <c r="G249" s="680"/>
      <c r="H249" s="681"/>
      <c r="I249" s="821"/>
      <c r="J249" s="63"/>
      <c r="K249" s="63"/>
      <c r="L249" s="63"/>
      <c r="O249" s="288"/>
      <c r="P249" s="382"/>
      <c r="DB249" s="87"/>
      <c r="DC249" s="87"/>
      <c r="DD249" s="87"/>
    </row>
    <row r="250" spans="1:108" x14ac:dyDescent="0.25">
      <c r="A250" s="909" t="str">
        <f t="shared" si="53"/>
        <v/>
      </c>
      <c r="B250" s="909"/>
      <c r="C250" s="909"/>
      <c r="D250" s="909"/>
      <c r="E250" s="92" t="str">
        <f t="shared" si="54"/>
        <v/>
      </c>
      <c r="F250" s="680"/>
      <c r="G250" s="680"/>
      <c r="H250" s="681"/>
      <c r="I250" s="185"/>
      <c r="J250" s="63"/>
      <c r="K250" s="63"/>
      <c r="L250" s="63"/>
      <c r="O250" s="288"/>
      <c r="P250" s="56"/>
      <c r="BN250" s="87"/>
    </row>
    <row r="251" spans="1:108" x14ac:dyDescent="0.25">
      <c r="A251" s="909" t="str">
        <f t="shared" si="53"/>
        <v/>
      </c>
      <c r="B251" s="909"/>
      <c r="C251" s="909"/>
      <c r="D251" s="909"/>
      <c r="E251" s="679" t="str">
        <f t="shared" si="54"/>
        <v/>
      </c>
      <c r="F251" s="308"/>
      <c r="G251" s="308"/>
      <c r="H251" s="308"/>
      <c r="I251" s="69"/>
      <c r="J251" s="63"/>
      <c r="K251" s="63"/>
      <c r="L251" s="63"/>
      <c r="O251" s="288"/>
      <c r="P251" s="56"/>
    </row>
    <row r="252" spans="1:108" x14ac:dyDescent="0.25">
      <c r="A252" s="909" t="str">
        <f t="shared" si="53"/>
        <v/>
      </c>
      <c r="B252" s="909"/>
      <c r="C252" s="909"/>
      <c r="D252" s="909"/>
      <c r="E252" s="92" t="str">
        <f t="shared" si="54"/>
        <v/>
      </c>
      <c r="F252" s="680"/>
      <c r="G252" s="680"/>
      <c r="H252" s="681"/>
      <c r="I252" s="185"/>
      <c r="O252" s="288"/>
      <c r="P252" s="382"/>
    </row>
    <row r="253" spans="1:108" x14ac:dyDescent="0.25">
      <c r="A253" s="909" t="str">
        <f t="shared" si="53"/>
        <v/>
      </c>
      <c r="B253" s="909"/>
      <c r="C253" s="909"/>
      <c r="D253" s="909"/>
      <c r="E253" s="92" t="str">
        <f t="shared" si="54"/>
        <v/>
      </c>
      <c r="F253" s="680"/>
      <c r="G253" s="680"/>
      <c r="H253" s="681"/>
      <c r="I253" s="185"/>
      <c r="O253" s="288"/>
      <c r="P253" s="56"/>
    </row>
    <row r="254" spans="1:108" x14ac:dyDescent="0.25">
      <c r="A254" s="55" t="str">
        <f t="shared" si="53"/>
        <v/>
      </c>
      <c r="E254" s="55" t="str">
        <f t="shared" si="54"/>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45292</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5" t="e">
        <f ca="1">MIN(1,DB260/DB259)</f>
        <v>#DIV/0!</v>
      </c>
      <c r="DC261" s="377"/>
      <c r="DD261" s="376"/>
      <c r="DE261" s="222"/>
      <c r="DG261" s="223"/>
      <c r="DI261" s="259" t="s">
        <v>360</v>
      </c>
      <c r="DJ261" s="606" t="e">
        <f ca="1">MIN(1,DB260/DB259)</f>
        <v>#DIV/0!</v>
      </c>
      <c r="DK261" s="560"/>
      <c r="DL261" s="561"/>
      <c r="DM261" s="222"/>
      <c r="DO261" s="223"/>
    </row>
    <row r="262" spans="1:119" ht="99" customHeight="1"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5">INDIRECT(ADDRESS(ROW()+N_Offset_M,COLUMN()+(N_SpracheAuswahl)*26,,,"Text"))</f>
        <v>geleistete Stunden mit Qualifikation B</v>
      </c>
      <c r="D262" s="459" t="str">
        <f t="shared" ca="1" si="55"/>
        <v>geleistete Nächte (jeweils 1 eintragen)</v>
      </c>
      <c r="E262" s="897" t="str">
        <f t="shared" ca="1" si="55"/>
        <v>Bemerkungen</v>
      </c>
      <c r="F262" s="898"/>
      <c r="G262" s="668" t="str">
        <f t="shared" ca="1" si="55"/>
        <v>angerechnete Stunden mit Lohnfortzahlung</v>
      </c>
      <c r="H262" s="668" t="str">
        <f t="shared" ca="1" si="55"/>
        <v>angerechnete Stunden ohne Lohnfortzahlung</v>
      </c>
      <c r="I262" s="668" t="str">
        <f t="shared" ca="1" si="55"/>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5.0999999999999996"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669"/>
      <c r="H263" s="670"/>
      <c r="I263" s="40"/>
      <c r="P263" s="151"/>
      <c r="U263" s="222"/>
      <c r="AE263" s="223"/>
      <c r="AF263" s="39"/>
      <c r="AH263" s="222" t="s">
        <v>636</v>
      </c>
      <c r="AI263" s="152"/>
      <c r="AJ263" s="137"/>
      <c r="AK263" s="233">
        <f>'  I  '!C18</f>
        <v>0</v>
      </c>
      <c r="AL263" s="137"/>
      <c r="AN263" s="137">
        <f>IF(N_Kündigungsfrist_Beginn=AH264,0,1)</f>
        <v>1</v>
      </c>
      <c r="AO263" s="55"/>
      <c r="AP263" s="233">
        <f>'  I  '!C19</f>
        <v>0</v>
      </c>
      <c r="AR263" s="234">
        <f>'  I  '!C20</f>
        <v>0</v>
      </c>
      <c r="AT263" s="355">
        <f ca="1">N_Ferien_Jahresguthaben+'  I  '!C13+N318</f>
        <v>28</v>
      </c>
      <c r="AV263" s="246">
        <f>'  I  '!C14</f>
        <v>0</v>
      </c>
      <c r="AW263" s="245"/>
      <c r="AY263" s="239"/>
      <c r="BA263" s="222"/>
      <c r="BB263" s="249">
        <f>'  I  '!C15</f>
        <v>0</v>
      </c>
      <c r="BC263" s="245"/>
      <c r="BE263" s="252">
        <f>'  I  '!C16</f>
        <v>0</v>
      </c>
      <c r="BG263" s="252">
        <f>'  I  '!C17</f>
        <v>0</v>
      </c>
      <c r="BI263" s="222"/>
      <c r="BS263" s="223"/>
      <c r="BU263" s="222"/>
      <c r="CA263" s="151"/>
      <c r="CB263" s="151"/>
      <c r="CC263" s="151"/>
      <c r="CD263" s="151"/>
      <c r="CE263" s="151"/>
      <c r="CK263" s="222"/>
      <c r="CM263" s="223"/>
      <c r="CO263" s="222"/>
      <c r="CY263" s="223"/>
      <c r="DA263" s="222"/>
      <c r="DD263" s="223"/>
      <c r="DE263" s="222"/>
      <c r="DG263" s="223"/>
      <c r="DI263" s="222"/>
      <c r="DJ263" s="379"/>
      <c r="DK263" s="379"/>
      <c r="DL263" s="223"/>
      <c r="DM263" s="22"/>
      <c r="DO263" s="223"/>
    </row>
    <row r="264" spans="1:119" x14ac:dyDescent="0.25">
      <c r="A264" s="153">
        <f>P1</f>
        <v>45292</v>
      </c>
      <c r="B264" s="154"/>
      <c r="C264" s="154"/>
      <c r="D264" s="154"/>
      <c r="E264" s="875" t="str">
        <f t="shared" ref="E264:E294" ca="1" si="56">IF(AE264=0,"",OFFSET(A_ArbeitsunfähigkeitGrund_Auswahl,(N_Sprache-1)*10+(AE264-1),0,1,1))</f>
        <v/>
      </c>
      <c r="F264" s="876"/>
      <c r="G264" s="667">
        <f ca="1">MAX(0,(N_ArbeitsstundenSollProKT*BU264-BV264)*OFFSET(BI264,0,AE264,1,1))</f>
        <v>0</v>
      </c>
      <c r="H264" s="667">
        <f t="shared" ref="H264:H294" ca="1" si="57">MAX(0,(N_ArbeitsstundenSollProKT*BU264-BV264)*(AE264&gt;2)*NOT(OFFSET(BI264,0,AE264,1,1)))</f>
        <v>0</v>
      </c>
      <c r="I264" s="667">
        <f t="shared" ref="I264:I294" ca="1" si="58">G264*OFFSET(CO264,0,AE264,1,1)</f>
        <v>0</v>
      </c>
      <c r="P264" s="151">
        <f t="shared" ref="P264:P294" si="59">IF(A264&lt;DATE(YEAR(A264),MONTH(N_Anstellung_Beginn),DAY(N_Anstellung_Beginn)),(YEAR(A264)-YEAR(N_Anstellung_Beginn)),(YEAR(A264)-YEAR(N_Anstellung_Beginn))+1)</f>
        <v>125</v>
      </c>
      <c r="R264" s="55">
        <f t="shared" ref="R264:R294" si="60">IF(A264&gt;=(P$1+P$2),1,0)</f>
        <v>0</v>
      </c>
      <c r="S264" s="55">
        <f>1-R264</f>
        <v>1</v>
      </c>
      <c r="U264" s="226">
        <f t="shared" ref="U264:U294" si="61">(R264=0)*IF(A264&lt;N_Anstellung_Beginn,1,0)</f>
        <v>0</v>
      </c>
      <c r="V264" s="137">
        <f t="shared" ref="V264:V294" ca="1" si="62">(R264=0)*IF(A264&gt;N_Anstellung_Ende,1,0)</f>
        <v>0</v>
      </c>
      <c r="W264" s="137">
        <f t="shared" ref="W264:W294" si="63">(R264=0)*IF(OR(AND(A264&gt;=$I$203,A264&lt;=$I$204),AND(A264&gt;=$I$206,A264&lt;=$I$207),AND(A264&gt;=$I$209,A264&lt;=$I$210)),1,0)</f>
        <v>0</v>
      </c>
      <c r="X264" s="137">
        <f t="shared" ref="X264:X294" si="64">(R264=0)*IF(OR(AND(A264&gt;=$I$246,A264&lt;=$I$247),AND(A264&gt;=$I$249,A264&lt;=$I$250),AND(A264&gt;=$I$252,A264&lt;=$I$253)),1,0)</f>
        <v>0</v>
      </c>
      <c r="Y264" s="137">
        <f t="shared" ref="Y264:Y294" ca="1" si="65">(R264=0)*IF(OR(AND($A264&gt;=$I$214,$A264&lt;=$I$215,S$216=5),AND($A264&gt;=$I$224,$A264&lt;=$I$225,S$226=5),AND($A264&gt;=$I$234,$A264&lt;=$I$235,S$236=5)),1,0)</f>
        <v>0</v>
      </c>
      <c r="Z264" s="137">
        <f t="shared" ref="Z264:Z294" ca="1" si="66">(R264=0)*IF(OR(AND($A264&gt;=$I$214,$A264&lt;=$I$215,(S$216=6)*NOT(S$217)),AND($A264&gt;=$I$224,$A264&lt;=$I$225,(S$226=6)*NOT(S$227)),AND($A264&gt;=$I$234,$A264&lt;=$I$235,(S$236=6)*NOT(S$237))),1,0)</f>
        <v>0</v>
      </c>
      <c r="AA264" s="137">
        <f t="shared" ref="AA264:AA294" ca="1" si="67">(R264=0)*IF(OR(AND($A264&gt;=$I$214,$A264&lt;=$I$215,S$216=7),AND($A264&gt;=$I$224,$A264&lt;=$I$225,S$226=7),AND($A264&gt;=$I$234,$A264&lt;=$I$235,S$236=7)),1,0)</f>
        <v>0</v>
      </c>
      <c r="AB264" s="137">
        <f t="shared" ref="AB264:AB294" ca="1" si="68">(R264=0)*IF(OR(AND($A264&gt;=$I$214,$A264&lt;=$I$215,S$216=8),AND($A264&gt;=$I$224,$A264&lt;=$I$225,S$226=8),AND($A264&gt;=$I$234,$A264&lt;=$I$235,S$236=8)),1,0)</f>
        <v>0</v>
      </c>
      <c r="AC264" s="137">
        <f t="shared" ref="AC264:AC294" ca="1" si="69">(R264=0)*IF(OR(AND($A264&gt;=$I$214,$A264&lt;=$I$215,S$216=9),AND($A264&gt;=$I$224,$A264&lt;=$I$225,S$226=9),AND($A264&gt;=$I$234,$A264&lt;=$I$235,S$236=9)),1,0)</f>
        <v>0</v>
      </c>
      <c r="AD264" s="137">
        <f t="shared" ref="AD264:AD294" ca="1" si="70">(R264=0)*IF(OR(AND($A264&gt;=$I$214,$A264&lt;=$I$215,(S$216=6)*S$217),AND($A264&gt;=$I$224,$A264&lt;=$I$225,(S$226=6)*S$227),AND($A264&gt;=$I$234,$A264&lt;=$I$235,(S$236=6)*S$237)),1,0)</f>
        <v>0</v>
      </c>
      <c r="AE264" s="223">
        <f t="shared" ref="AE264:AE294" ca="1" si="71">IF(SUM(U264:V264)&gt;0,(U264*U$260+V264*V$260),IF(W264&gt;0,W264*W$260,IF(SUM(Y264:AD264)&gt;0,(Y264*Y$260+Z264*Z$260+AA264*AA$260+AB264*AB$260+AC264*AC$260+AD264*AD$260),IF(X264&gt;0,X264*X$260,0))))</f>
        <v>0</v>
      </c>
      <c r="AF264" s="229" t="str">
        <f t="shared" ref="AF264:AF294" ca="1" si="72">IF(AE264=0,"",OFFSET(A_ArbeitsunfähigkeitGrund_Auswahl,(N_Sprache-1)*10+(AE264-1),0,1,1))</f>
        <v/>
      </c>
      <c r="AH264" s="235">
        <f t="shared" ref="AH264:AH294" si="73">A264</f>
        <v>45292</v>
      </c>
      <c r="AI264" s="137">
        <f t="shared" ref="AI264:AI294" ca="1" si="74">IF((Y264+Z264)&gt;0,1,0)</f>
        <v>0</v>
      </c>
      <c r="AJ264" s="137">
        <f t="shared" ref="AJ264:AJ294" si="75">IF(AH264&lt;DATE(YEAR(N_Anstellung_Beginn),MONTH(N_Anstellung_Beginn)+N_Probezeit_Dauer_Mt,DAY(N_Anstellung_Beginn)),1,0)</f>
        <v>0</v>
      </c>
      <c r="AK264" s="137">
        <f ca="1">IF(R264=1,AK263,MAX(0,AK263+AJ264*AI264-IF(AND(AJ264=0,AJ263=0),1,0)))</f>
        <v>0</v>
      </c>
      <c r="AL264" s="137">
        <f ca="1">IF(AJ264=1,1,IF(AK264&gt;0,1,0))</f>
        <v>0</v>
      </c>
      <c r="AM264" s="137">
        <f t="shared" ref="AM264:AM294" si="76">(R264=0)*IF(AH264&gt;=N_Kündigungsfrist_Beginn,1,0)</f>
        <v>0</v>
      </c>
      <c r="AN264" s="137">
        <f t="shared" ref="AN264:AN294" ca="1" si="77">IF(AND(AL264=0,AM264=1,N_GekündigtVon_Auswahl=1),1,0)</f>
        <v>0</v>
      </c>
      <c r="AO264" s="137">
        <f t="shared" ref="AO264:AO294" ca="1" si="78">IF(OR(AN264-AN263=1,AN264*IF(VLOOKUP(AQ264,A_Rückfall_Auswahl,2,0)=1,1,0)=1),VLOOKUP(P264,A_Sperrfrist,2,1),0)</f>
        <v>0</v>
      </c>
      <c r="AP264" s="137">
        <f ca="1">IF(R264=1,AP263,MAX(0,IF(AN264=0,0,IF(AO264&gt;0,AO264-1,AP263-1))))</f>
        <v>0</v>
      </c>
      <c r="AQ264" s="137">
        <f t="shared" ref="AQ264:AQ294" si="79">IF(R264=0,IF(AH264=I$214,G$218,IF(AH264=I$224,G$228,IF(AH264=I$234,G$238,0))),0)</f>
        <v>0</v>
      </c>
      <c r="AR264" s="236">
        <f t="shared" ref="AR264:AR294" ca="1" si="80">IF(R264=1,AR263,AR263+IF(AND(AP264&gt;0,AH264&lt;=N_Kündigung),1,0)*AM264*(AI264))</f>
        <v>0</v>
      </c>
      <c r="AT264" s="241">
        <f t="shared" ref="AT264:AT294" ca="1" si="81">AT263-(AE264=3)</f>
        <v>28</v>
      </c>
      <c r="AV264" s="222">
        <f ca="1">IF(R264=1,AV263,(AE264=4)*(AV263+1))</f>
        <v>0</v>
      </c>
      <c r="AW264" s="247">
        <f t="shared" ref="AW264:AW294" si="82">A264-DATE(YEAR(A264),MONTH(A264)-N_LFP_324_Dauer_max,DAY(A264))</f>
        <v>92</v>
      </c>
      <c r="AY264" s="239">
        <f ca="1">(AE264=5)*('  B  '!F$110=1)*OR(AND(AND(A264&gt;=S$220,A264&gt;=I$214),AND(A264&lt;=S$221,A264&lt;=I$215)),AND(AND(A264&gt;=S$230,A264&gt;=I$224),AND(A264&lt;=S$231,A264&lt;=I$225)),AND(AND(A264&gt;=S$240,A264&gt;=I$234),AND(A264&lt;=S$241,A264&lt;=I$235)))</f>
        <v>0</v>
      </c>
      <c r="BA264" s="222">
        <f ca="1">IF(OR(AE264=5,AE264=8,AE264=10),1,0)</f>
        <v>0</v>
      </c>
      <c r="BB264" s="55">
        <f t="shared" ref="BB264:BB294" ca="1" si="83">BA264+IF(AND(MONTH(A264)=MONTH(N_Anstellung_Beginn),DAY(A264)=DAY(N_Anstellung_Beginn)),0,BB263)</f>
        <v>0</v>
      </c>
      <c r="BC264" s="247">
        <f t="shared" ref="BC264:BC294" si="84">IF(A264&gt;N_Anstellung_Beginn,IF(P264=1,VLOOKUP(P264,A_BernerSkala,2,0)*7,DATE(YEAR(A264),MONTH(A264)+VLOOKUP(MIN(20,P264),A_BernerSkala,2,0),DAY(A264))-A264),0)</f>
        <v>182</v>
      </c>
      <c r="BE264" s="239">
        <f ca="1">IF(R264=1,BE263,(AE264=6)*(BE263+1))</f>
        <v>0</v>
      </c>
      <c r="BG264" s="239">
        <f ca="1">IF(R264=1,BG263,(AE264=9)*(BG263+1))</f>
        <v>0</v>
      </c>
      <c r="BI264" s="222"/>
      <c r="BJ264" s="137">
        <v>0</v>
      </c>
      <c r="BK264" s="137">
        <v>0</v>
      </c>
      <c r="BL264" s="137">
        <f t="shared" ref="BL264:BL294" ca="1" si="85">IF(AND(N_LohnartAuswahl=2,N_Ferien_ArtAuszahlung_Auswahl=1),0,1)</f>
        <v>1</v>
      </c>
      <c r="BM264" s="137">
        <f ca="1">IF(AV264&lt;AW264,1,0)</f>
        <v>1</v>
      </c>
      <c r="BN264" s="137">
        <f ca="1">(A264&gt;=N_LFP_Startdatum)*IF('  B  '!F$110=1,NOT(OR(A264&gt;S$221,A264&gt;S$231,A264&gt;S$241)),IF(BB264&gt;BC264,0,1))</f>
        <v>1</v>
      </c>
      <c r="BO264" s="137">
        <f t="shared" ref="BO264:BO294" ca="1" si="86">IF(BE264&gt;(N_Wartefrist_Unfall+N_Unfalltaggeld_Dauer_max),0,1)</f>
        <v>1</v>
      </c>
      <c r="BP264" s="137">
        <v>0</v>
      </c>
      <c r="BQ264" s="137">
        <f t="shared" ref="BQ264:BQ294" ca="1" si="87">(A264&gt;=N_LFP_Startdatum)*IF(BB264&gt;BC264,0,1)</f>
        <v>1</v>
      </c>
      <c r="BR264" s="653">
        <v>0</v>
      </c>
      <c r="BS264" s="224">
        <f ca="1">(A264&gt;=N_LFP_Startdatum)*IF('  B  '!F$110=1,NOT(OR(A264&gt;S$221,A264&gt;S$231,A264&gt;S$241)),IF(BB264&gt;BC264,0,1))</f>
        <v>1</v>
      </c>
      <c r="BU264" s="254">
        <f t="shared" ref="BU264:BU294" ca="1" si="8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89">H264*IF(N_ArbeitsstundenSollProKT&gt;0,N_Monatslohn/(P$2*N_ArbeitsstundenSollProKT),0)</f>
        <v>0</v>
      </c>
      <c r="CA264" s="156">
        <f ca="1">(R264=0)*SUM(BX264:BZ264)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ca="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90">AND(A264&gt;=I$214,A264&lt;=I$215)*SUM(CH264:CJ264)</f>
        <v>0</v>
      </c>
      <c r="CL264" s="270">
        <f t="shared" ref="CL264:CL294" ca="1" si="91">AND(A264&gt;=I$224,A264&lt;=I$225)*SUM(CH264:CJ264)</f>
        <v>0</v>
      </c>
      <c r="CM264" s="265">
        <f t="shared" ref="CM264:CM294" ca="1" si="92">AND(A264&gt;=I$234,A264&lt;=I$235)*SUM(CH264:CJ264)</f>
        <v>0</v>
      </c>
      <c r="CO264" s="222"/>
      <c r="CP264" s="137">
        <v>0</v>
      </c>
      <c r="CQ264" s="137">
        <v>0</v>
      </c>
      <c r="CR264" s="137">
        <v>0</v>
      </c>
      <c r="CS264" s="137">
        <f t="shared" ref="CS264:CS294" ca="1" si="93">(G264&gt;0)*IF(AV264&lt;=(A264-DATE(YEAR(A264),MONTH(A264)-N_LFP_324_RV_Dauer_max,DAY(A264))),1,0)</f>
        <v>0</v>
      </c>
      <c r="CT264" s="137">
        <f t="shared" ref="CT264:CT294" ca="1" si="94">(G264&gt;0)*IF(BB264&lt;=MIN(BC264,(A264-DATE(YEAR(A264),MONTH(A264)-N_LFP_324a_RV_Dauer_max,DAY(A264)))),1,0)</f>
        <v>0</v>
      </c>
      <c r="CU264" s="137">
        <f t="shared" ref="CU264:CU294" ca="1" si="95">(G264&gt;0)*1</f>
        <v>0</v>
      </c>
      <c r="CV264" s="137">
        <v>0</v>
      </c>
      <c r="CW264" s="137">
        <f t="shared" ref="CW264:CW294" ca="1" si="96">(G264&gt;0)*IF(BB264&lt;=MIN(BC264,(A264-DATE(YEAR(A264),MONTH(A264)-N_LFP_324a_RV_Dauer_max,DAY(A264)))),1,0)</f>
        <v>0</v>
      </c>
      <c r="CX264" s="137">
        <v>0</v>
      </c>
      <c r="CY264" s="224">
        <f t="shared" ref="CY264:CY294" ca="1" si="97">(G264&gt;0)*IF(BB264&lt;=MIN(BC264,(A264-DATE(YEAR(A264),MONTH(A264)-N_LFP_324a_RV_Dauer_max,DAY(A264)))),1,0)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98">AND(A264&gt;=I$214,A264&lt;=I$215)*SUM(DB264:DD264)</f>
        <v>0</v>
      </c>
      <c r="DF264" s="279">
        <f t="shared" ref="DF264:DF294" ca="1" si="99">AND(A264&gt;=I$224,A264&lt;=I$225)*SUM(DB264:DD264)</f>
        <v>0</v>
      </c>
      <c r="DG264" s="280">
        <f t="shared" ref="DG264:DG294" ca="1" si="100">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A264+1</f>
        <v>45293</v>
      </c>
      <c r="B265" s="154"/>
      <c r="C265" s="154"/>
      <c r="D265" s="154"/>
      <c r="E265" s="875" t="str">
        <f t="shared" ca="1" si="56"/>
        <v/>
      </c>
      <c r="F265" s="876"/>
      <c r="G265" s="667">
        <f t="shared" ref="G265:G294" ca="1" si="101">MAX(0,(N_ArbeitsstundenSollProKT*BU265-BV265)*OFFSET(BI265,0,AE265,1,1))</f>
        <v>0</v>
      </c>
      <c r="H265" s="667">
        <f t="shared" ca="1" si="57"/>
        <v>0</v>
      </c>
      <c r="I265" s="667">
        <f t="shared" ca="1" si="58"/>
        <v>0</v>
      </c>
      <c r="P265" s="151">
        <f t="shared" si="59"/>
        <v>125</v>
      </c>
      <c r="R265" s="55">
        <f t="shared" si="60"/>
        <v>0</v>
      </c>
      <c r="S265" s="55">
        <f t="shared" ref="S265:S294" si="102">1-R265</f>
        <v>1</v>
      </c>
      <c r="U265" s="226">
        <f t="shared" si="61"/>
        <v>0</v>
      </c>
      <c r="V265" s="137">
        <f t="shared" ca="1" si="62"/>
        <v>0</v>
      </c>
      <c r="W265" s="137">
        <f t="shared" si="63"/>
        <v>0</v>
      </c>
      <c r="X265" s="137">
        <f t="shared" si="64"/>
        <v>0</v>
      </c>
      <c r="Y265" s="137">
        <f t="shared" ca="1" si="65"/>
        <v>0</v>
      </c>
      <c r="Z265" s="137">
        <f t="shared" ca="1" si="66"/>
        <v>0</v>
      </c>
      <c r="AA265" s="137">
        <f t="shared" ca="1" si="67"/>
        <v>0</v>
      </c>
      <c r="AB265" s="137">
        <f t="shared" ca="1" si="68"/>
        <v>0</v>
      </c>
      <c r="AC265" s="137">
        <f t="shared" ca="1" si="69"/>
        <v>0</v>
      </c>
      <c r="AD265" s="137">
        <f t="shared" ca="1" si="70"/>
        <v>0</v>
      </c>
      <c r="AE265" s="223">
        <f t="shared" ca="1" si="71"/>
        <v>0</v>
      </c>
      <c r="AF265" s="229" t="str">
        <f t="shared" ca="1" si="72"/>
        <v/>
      </c>
      <c r="AH265" s="235">
        <f t="shared" si="73"/>
        <v>45293</v>
      </c>
      <c r="AI265" s="137">
        <f t="shared" ca="1" si="74"/>
        <v>0</v>
      </c>
      <c r="AJ265" s="137">
        <f t="shared" si="75"/>
        <v>0</v>
      </c>
      <c r="AK265" s="137">
        <f t="shared" ref="AK265:AK294" ca="1" si="103">IF(R265=1,AK264,MAX(0,AK264+AJ265*AI265-IF(AND(AJ265=0,AJ264=0),1,0)))</f>
        <v>0</v>
      </c>
      <c r="AL265" s="137">
        <f t="shared" ref="AL265:AL294" ca="1" si="104">IF(AJ265=1,1,IF(AK265&gt;0,1,0))</f>
        <v>0</v>
      </c>
      <c r="AM265" s="137">
        <f t="shared" si="76"/>
        <v>0</v>
      </c>
      <c r="AN265" s="137">
        <f t="shared" ca="1" si="77"/>
        <v>0</v>
      </c>
      <c r="AO265" s="137">
        <f t="shared" ca="1" si="78"/>
        <v>0</v>
      </c>
      <c r="AP265" s="137">
        <f t="shared" ref="AP265:AP294" ca="1" si="105">IF(R265=1,AP264,MAX(0,IF(AN265=0,0,IF(AO265&gt;0,AO265-1,AP264-1))))</f>
        <v>0</v>
      </c>
      <c r="AQ265" s="137">
        <f t="shared" si="79"/>
        <v>0</v>
      </c>
      <c r="AR265" s="236">
        <f t="shared" ca="1" si="80"/>
        <v>0</v>
      </c>
      <c r="AT265" s="241">
        <f t="shared" ca="1" si="81"/>
        <v>28</v>
      </c>
      <c r="AV265" s="222">
        <f t="shared" ref="AV265:AV294" ca="1" si="106">IF(R265=1,AV264,(AE265=4)*(AV264+1))</f>
        <v>0</v>
      </c>
      <c r="AW265" s="247">
        <f t="shared" si="82"/>
        <v>92</v>
      </c>
      <c r="AY265" s="239">
        <f ca="1">(AE265=5)*('  B  '!F$110=1)*OR(AND(AND(A265&gt;=S$220,A265&gt;=I$214),AND(A265&lt;=S$221,A265&lt;=I$215)),AND(AND(A265&gt;=S$230,A265&gt;=I$224),AND(A265&lt;=S$231,A265&lt;=I$225)),AND(AND(A265&gt;=S$240,A265&gt;=I$234),AND(A265&lt;=S$241,A265&lt;=I$235)))</f>
        <v>0</v>
      </c>
      <c r="BA265" s="222">
        <f t="shared" ref="BA265:BA294" ca="1" si="107">IF(OR(AE265=5,AE265=8,AE265=10),1,0)</f>
        <v>0</v>
      </c>
      <c r="BB265" s="55">
        <f t="shared" ca="1" si="83"/>
        <v>0</v>
      </c>
      <c r="BC265" s="247">
        <f t="shared" si="84"/>
        <v>182</v>
      </c>
      <c r="BE265" s="239">
        <f t="shared" ref="BE265:BE294" ca="1" si="108">IF(R265=1,BE264,(AE265=6)*(BE264+1))</f>
        <v>0</v>
      </c>
      <c r="BG265" s="239">
        <f t="shared" ref="BG265:BG294" ca="1" si="109">IF(R265=1,BG264,(AE265=9)*(BG264+1))</f>
        <v>0</v>
      </c>
      <c r="BI265" s="222"/>
      <c r="BJ265" s="137">
        <v>0</v>
      </c>
      <c r="BK265" s="137">
        <v>0</v>
      </c>
      <c r="BL265" s="137">
        <f t="shared" ca="1" si="85"/>
        <v>1</v>
      </c>
      <c r="BM265" s="137">
        <f t="shared" ref="BM265:BM294" ca="1" si="110">IF(AV265&lt;AW265,1,0)</f>
        <v>1</v>
      </c>
      <c r="BN265" s="137">
        <f ca="1">(A265&gt;=N_LFP_Startdatum)*IF('  B  '!F$110=1,NOT(OR(A265&gt;S$221,A265&gt;S$231,A265&gt;S$241)),IF(BB265&gt;BC265,0,1))</f>
        <v>1</v>
      </c>
      <c r="BO265" s="137">
        <f t="shared" ca="1" si="86"/>
        <v>1</v>
      </c>
      <c r="BP265" s="137">
        <v>0</v>
      </c>
      <c r="BQ265" s="137">
        <f t="shared" ca="1" si="87"/>
        <v>1</v>
      </c>
      <c r="BR265" s="653">
        <v>0</v>
      </c>
      <c r="BS265" s="224">
        <f ca="1">(A265&gt;=N_LFP_Startdatum)*IF('  B  '!F$110=1,NOT(OR(A265&gt;S$221,A265&gt;S$231,A265&gt;S$241)),IF(BB265&gt;BC265,0,1))</f>
        <v>1</v>
      </c>
      <c r="BU265" s="254">
        <f t="shared" ca="1" si="8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89"/>
        <v>0</v>
      </c>
      <c r="CA265" s="156">
        <f t="shared" ref="CA265:CA294" ca="1" si="111">(R265=0)*SUM(BX265:BZ265)</f>
        <v>0</v>
      </c>
      <c r="CB265" s="156"/>
      <c r="CC265" s="156">
        <f ca="1">(AE265=5)*('  B  '!F$113-(AY265*'  B  '!F$114))*G265*CF$260</f>
        <v>0</v>
      </c>
      <c r="CD265" s="156">
        <f ca="1">((BE265&gt;0)*'  B  '!F$105-(BE265&gt;N_Wartefrist_Unfall)*'  B  '!F$106)*(G265*CF$260)</f>
        <v>0</v>
      </c>
      <c r="CE265" s="156">
        <f ca="1">OR(AE265&lt;5,AE265&gt;6)*G265*OFFSET(Vorgabewerte!C$56,AE265,0,1,1)*CF$260</f>
        <v>0</v>
      </c>
      <c r="CF265" s="156">
        <f t="shared" ref="CF265:CF294" ca="1" si="112">(R265=0)*SUM(CC265:CE265)</f>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90"/>
        <v>0</v>
      </c>
      <c r="CL265" s="270">
        <f t="shared" ca="1" si="91"/>
        <v>0</v>
      </c>
      <c r="CM265" s="265">
        <f t="shared" ca="1" si="92"/>
        <v>0</v>
      </c>
      <c r="CO265" s="222"/>
      <c r="CP265" s="137">
        <v>0</v>
      </c>
      <c r="CQ265" s="137">
        <v>0</v>
      </c>
      <c r="CR265" s="137">
        <v>0</v>
      </c>
      <c r="CS265" s="137">
        <f t="shared" ca="1" si="93"/>
        <v>0</v>
      </c>
      <c r="CT265" s="137">
        <f t="shared" ca="1" si="94"/>
        <v>0</v>
      </c>
      <c r="CU265" s="137">
        <f t="shared" ca="1" si="95"/>
        <v>0</v>
      </c>
      <c r="CV265" s="137">
        <v>0</v>
      </c>
      <c r="CW265" s="137">
        <f t="shared" ca="1" si="96"/>
        <v>0</v>
      </c>
      <c r="CX265" s="137">
        <v>0</v>
      </c>
      <c r="CY265" s="224">
        <f t="shared" ca="1" si="97"/>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98"/>
        <v>0</v>
      </c>
      <c r="DF265" s="279">
        <f t="shared" ca="1" si="99"/>
        <v>0</v>
      </c>
      <c r="DG265" s="280">
        <f t="shared" ca="1" si="100"/>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3">AND(A265&gt;=I$214,A265&lt;=I$215)*SUM(DI265:DL265)</f>
        <v>0</v>
      </c>
      <c r="DN265" s="279">
        <f t="shared" ref="DN265:DN294" ca="1" si="114">AND(A265&gt;=I$224,A265&lt;=I$225)*SUM(DJ265:DL265)</f>
        <v>0</v>
      </c>
      <c r="DO265" s="279">
        <f t="shared" ref="DO265:DO294" ca="1" si="115">AND(A265&gt;=I$234,A265&lt;=I$235)*SUM(DB265:DD265)</f>
        <v>0</v>
      </c>
    </row>
    <row r="266" spans="1:119" x14ac:dyDescent="0.25">
      <c r="A266" s="153">
        <f t="shared" ref="A266:A294" si="116">A265+1</f>
        <v>45294</v>
      </c>
      <c r="B266" s="154"/>
      <c r="C266" s="154"/>
      <c r="D266" s="154"/>
      <c r="E266" s="875" t="str">
        <f t="shared" ca="1" si="56"/>
        <v/>
      </c>
      <c r="F266" s="876"/>
      <c r="G266" s="667">
        <f t="shared" ca="1" si="101"/>
        <v>0</v>
      </c>
      <c r="H266" s="667">
        <f t="shared" ca="1" si="57"/>
        <v>0</v>
      </c>
      <c r="I266" s="667">
        <f t="shared" ca="1" si="58"/>
        <v>0</v>
      </c>
      <c r="P266" s="151">
        <f t="shared" si="59"/>
        <v>125</v>
      </c>
      <c r="R266" s="55">
        <f t="shared" si="60"/>
        <v>0</v>
      </c>
      <c r="S266" s="55">
        <f t="shared" si="102"/>
        <v>1</v>
      </c>
      <c r="U266" s="226">
        <f t="shared" si="61"/>
        <v>0</v>
      </c>
      <c r="V266" s="137">
        <f t="shared" ca="1" si="62"/>
        <v>0</v>
      </c>
      <c r="W266" s="137">
        <f t="shared" si="63"/>
        <v>0</v>
      </c>
      <c r="X266" s="137">
        <f t="shared" si="64"/>
        <v>0</v>
      </c>
      <c r="Y266" s="137">
        <f t="shared" ca="1" si="65"/>
        <v>0</v>
      </c>
      <c r="Z266" s="137">
        <f t="shared" ca="1" si="66"/>
        <v>0</v>
      </c>
      <c r="AA266" s="137">
        <f t="shared" ca="1" si="67"/>
        <v>0</v>
      </c>
      <c r="AB266" s="137">
        <f t="shared" ca="1" si="68"/>
        <v>0</v>
      </c>
      <c r="AC266" s="137">
        <f t="shared" ca="1" si="69"/>
        <v>0</v>
      </c>
      <c r="AD266" s="137">
        <f t="shared" ca="1" si="70"/>
        <v>0</v>
      </c>
      <c r="AE266" s="223">
        <f t="shared" ca="1" si="71"/>
        <v>0</v>
      </c>
      <c r="AF266" s="229" t="str">
        <f t="shared" ca="1" si="72"/>
        <v/>
      </c>
      <c r="AH266" s="235">
        <f t="shared" si="73"/>
        <v>45294</v>
      </c>
      <c r="AI266" s="137">
        <f t="shared" ca="1" si="74"/>
        <v>0</v>
      </c>
      <c r="AJ266" s="137">
        <f t="shared" si="75"/>
        <v>0</v>
      </c>
      <c r="AK266" s="137">
        <f t="shared" ca="1" si="103"/>
        <v>0</v>
      </c>
      <c r="AL266" s="137">
        <f t="shared" ca="1" si="104"/>
        <v>0</v>
      </c>
      <c r="AM266" s="137">
        <f t="shared" si="76"/>
        <v>0</v>
      </c>
      <c r="AN266" s="137">
        <f t="shared" ca="1" si="77"/>
        <v>0</v>
      </c>
      <c r="AO266" s="137">
        <f t="shared" ca="1" si="78"/>
        <v>0</v>
      </c>
      <c r="AP266" s="137">
        <f t="shared" ca="1" si="105"/>
        <v>0</v>
      </c>
      <c r="AQ266" s="137">
        <f t="shared" si="79"/>
        <v>0</v>
      </c>
      <c r="AR266" s="236">
        <f t="shared" ca="1" si="80"/>
        <v>0</v>
      </c>
      <c r="AT266" s="241">
        <f t="shared" ca="1" si="81"/>
        <v>28</v>
      </c>
      <c r="AV266" s="222">
        <f t="shared" ca="1" si="106"/>
        <v>0</v>
      </c>
      <c r="AW266" s="247">
        <f t="shared" si="82"/>
        <v>92</v>
      </c>
      <c r="AY266" s="239">
        <f ca="1">(AE266=5)*('  B  '!F$110=1)*OR(AND(AND(A266&gt;=S$220,A266&gt;=I$214),AND(A266&lt;=S$221,A266&lt;=I$215)),AND(AND(A266&gt;=S$230,A266&gt;=I$224),AND(A266&lt;=S$231,A266&lt;=I$225)),AND(AND(A266&gt;=S$240,A266&gt;=I$234),AND(A266&lt;=S$241,A266&lt;=I$235)))</f>
        <v>0</v>
      </c>
      <c r="BA266" s="222">
        <f t="shared" ca="1" si="107"/>
        <v>0</v>
      </c>
      <c r="BB266" s="55">
        <f t="shared" ca="1" si="83"/>
        <v>0</v>
      </c>
      <c r="BC266" s="247">
        <f t="shared" si="84"/>
        <v>182</v>
      </c>
      <c r="BE266" s="239">
        <f t="shared" ca="1" si="108"/>
        <v>0</v>
      </c>
      <c r="BG266" s="239">
        <f t="shared" ca="1" si="109"/>
        <v>0</v>
      </c>
      <c r="BI266" s="222"/>
      <c r="BJ266" s="137">
        <v>0</v>
      </c>
      <c r="BK266" s="137">
        <v>0</v>
      </c>
      <c r="BL266" s="137">
        <f t="shared" ca="1" si="85"/>
        <v>1</v>
      </c>
      <c r="BM266" s="137">
        <f t="shared" ca="1" si="110"/>
        <v>1</v>
      </c>
      <c r="BN266" s="137">
        <f ca="1">(A266&gt;=N_LFP_Startdatum)*IF('  B  '!F$110=1,NOT(OR(A266&gt;S$221,A266&gt;S$231,A266&gt;S$241)),IF(BB266&gt;BC266,0,1))</f>
        <v>1</v>
      </c>
      <c r="BO266" s="137">
        <f t="shared" ca="1" si="86"/>
        <v>1</v>
      </c>
      <c r="BP266" s="137">
        <v>0</v>
      </c>
      <c r="BQ266" s="137">
        <f t="shared" ca="1" si="87"/>
        <v>1</v>
      </c>
      <c r="BR266" s="653">
        <v>0</v>
      </c>
      <c r="BS266" s="224">
        <f ca="1">(A266&gt;=N_LFP_Startdatum)*IF('  B  '!F$110=1,NOT(OR(A266&gt;S$221,A266&gt;S$231,A266&gt;S$241)),IF(BB266&gt;BC266,0,1))</f>
        <v>1</v>
      </c>
      <c r="BU266" s="254">
        <f t="shared" ca="1" si="8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89"/>
        <v>0</v>
      </c>
      <c r="CA266" s="156">
        <f t="shared" ca="1" si="111"/>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12"/>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90"/>
        <v>0</v>
      </c>
      <c r="CL266" s="270">
        <f t="shared" ca="1" si="91"/>
        <v>0</v>
      </c>
      <c r="CM266" s="265">
        <f t="shared" ca="1" si="92"/>
        <v>0</v>
      </c>
      <c r="CO266" s="222"/>
      <c r="CP266" s="137">
        <v>0</v>
      </c>
      <c r="CQ266" s="137">
        <v>0</v>
      </c>
      <c r="CR266" s="137">
        <v>0</v>
      </c>
      <c r="CS266" s="137">
        <f t="shared" ca="1" si="93"/>
        <v>0</v>
      </c>
      <c r="CT266" s="137">
        <f t="shared" ca="1" si="94"/>
        <v>0</v>
      </c>
      <c r="CU266" s="137">
        <f t="shared" ca="1" si="95"/>
        <v>0</v>
      </c>
      <c r="CV266" s="137">
        <v>0</v>
      </c>
      <c r="CW266" s="137">
        <f t="shared" ca="1" si="96"/>
        <v>0</v>
      </c>
      <c r="CX266" s="137">
        <v>0</v>
      </c>
      <c r="CY266" s="224">
        <f t="shared" ca="1" si="97"/>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98"/>
        <v>0</v>
      </c>
      <c r="DF266" s="279">
        <f t="shared" ca="1" si="99"/>
        <v>0</v>
      </c>
      <c r="DG266" s="280">
        <f t="shared" ca="1" si="100"/>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3"/>
        <v>0</v>
      </c>
      <c r="DN266" s="279">
        <f t="shared" ca="1" si="114"/>
        <v>0</v>
      </c>
      <c r="DO266" s="279">
        <f t="shared" ca="1" si="115"/>
        <v>0</v>
      </c>
    </row>
    <row r="267" spans="1:119" x14ac:dyDescent="0.25">
      <c r="A267" s="153">
        <f t="shared" si="116"/>
        <v>45295</v>
      </c>
      <c r="B267" s="154"/>
      <c r="C267" s="154"/>
      <c r="D267" s="154"/>
      <c r="E267" s="875" t="str">
        <f t="shared" ca="1" si="56"/>
        <v/>
      </c>
      <c r="F267" s="876"/>
      <c r="G267" s="667">
        <f t="shared" ca="1" si="101"/>
        <v>0</v>
      </c>
      <c r="H267" s="667">
        <f t="shared" ca="1" si="57"/>
        <v>0</v>
      </c>
      <c r="I267" s="667">
        <f t="shared" ca="1" si="58"/>
        <v>0</v>
      </c>
      <c r="P267" s="151">
        <f t="shared" si="59"/>
        <v>125</v>
      </c>
      <c r="R267" s="55">
        <f t="shared" si="60"/>
        <v>0</v>
      </c>
      <c r="S267" s="55">
        <f t="shared" si="102"/>
        <v>1</v>
      </c>
      <c r="U267" s="226">
        <f t="shared" si="61"/>
        <v>0</v>
      </c>
      <c r="V267" s="137">
        <f t="shared" ca="1" si="62"/>
        <v>0</v>
      </c>
      <c r="W267" s="137">
        <f t="shared" si="63"/>
        <v>0</v>
      </c>
      <c r="X267" s="137">
        <f t="shared" si="64"/>
        <v>0</v>
      </c>
      <c r="Y267" s="137">
        <f t="shared" ca="1" si="65"/>
        <v>0</v>
      </c>
      <c r="Z267" s="137">
        <f t="shared" ca="1" si="66"/>
        <v>0</v>
      </c>
      <c r="AA267" s="137">
        <f t="shared" ca="1" si="67"/>
        <v>0</v>
      </c>
      <c r="AB267" s="137">
        <f t="shared" ca="1" si="68"/>
        <v>0</v>
      </c>
      <c r="AC267" s="137">
        <f t="shared" ca="1" si="69"/>
        <v>0</v>
      </c>
      <c r="AD267" s="137">
        <f t="shared" ca="1" si="70"/>
        <v>0</v>
      </c>
      <c r="AE267" s="223">
        <f t="shared" ca="1" si="71"/>
        <v>0</v>
      </c>
      <c r="AF267" s="229" t="str">
        <f t="shared" ca="1" si="72"/>
        <v/>
      </c>
      <c r="AH267" s="235">
        <f t="shared" si="73"/>
        <v>45295</v>
      </c>
      <c r="AI267" s="137">
        <f t="shared" ca="1" si="74"/>
        <v>0</v>
      </c>
      <c r="AJ267" s="137">
        <f t="shared" si="75"/>
        <v>0</v>
      </c>
      <c r="AK267" s="137">
        <f t="shared" ca="1" si="103"/>
        <v>0</v>
      </c>
      <c r="AL267" s="137">
        <f t="shared" ca="1" si="104"/>
        <v>0</v>
      </c>
      <c r="AM267" s="137">
        <f t="shared" si="76"/>
        <v>0</v>
      </c>
      <c r="AN267" s="137">
        <f t="shared" ca="1" si="77"/>
        <v>0</v>
      </c>
      <c r="AO267" s="137">
        <f t="shared" ca="1" si="78"/>
        <v>0</v>
      </c>
      <c r="AP267" s="137">
        <f t="shared" ca="1" si="105"/>
        <v>0</v>
      </c>
      <c r="AQ267" s="137">
        <f t="shared" si="79"/>
        <v>0</v>
      </c>
      <c r="AR267" s="236">
        <f t="shared" ca="1" si="80"/>
        <v>0</v>
      </c>
      <c r="AT267" s="241">
        <f t="shared" ca="1" si="81"/>
        <v>28</v>
      </c>
      <c r="AV267" s="222">
        <f t="shared" ca="1" si="106"/>
        <v>0</v>
      </c>
      <c r="AW267" s="247">
        <f t="shared" si="82"/>
        <v>92</v>
      </c>
      <c r="AY267" s="239">
        <f ca="1">(AE267=5)*('  B  '!F$110=1)*OR(AND(AND(A267&gt;=S$220,A267&gt;=I$214),AND(A267&lt;=S$221,A267&lt;=I$215)),AND(AND(A267&gt;=S$230,A267&gt;=I$224),AND(A267&lt;=S$231,A267&lt;=I$225)),AND(AND(A267&gt;=S$240,A267&gt;=I$234),AND(A267&lt;=S$241,A267&lt;=I$235)))</f>
        <v>0</v>
      </c>
      <c r="BA267" s="222">
        <f t="shared" ca="1" si="107"/>
        <v>0</v>
      </c>
      <c r="BB267" s="55">
        <f t="shared" ca="1" si="83"/>
        <v>0</v>
      </c>
      <c r="BC267" s="247">
        <f t="shared" si="84"/>
        <v>182</v>
      </c>
      <c r="BE267" s="239">
        <f t="shared" ca="1" si="108"/>
        <v>0</v>
      </c>
      <c r="BG267" s="239">
        <f t="shared" ca="1" si="109"/>
        <v>0</v>
      </c>
      <c r="BI267" s="222"/>
      <c r="BJ267" s="137">
        <v>0</v>
      </c>
      <c r="BK267" s="137">
        <v>0</v>
      </c>
      <c r="BL267" s="137">
        <f t="shared" ca="1" si="85"/>
        <v>1</v>
      </c>
      <c r="BM267" s="137">
        <f t="shared" ca="1" si="110"/>
        <v>1</v>
      </c>
      <c r="BN267" s="137">
        <f ca="1">(A267&gt;=N_LFP_Startdatum)*IF('  B  '!F$110=1,NOT(OR(A267&gt;S$221,A267&gt;S$231,A267&gt;S$241)),IF(BB267&gt;BC267,0,1))</f>
        <v>1</v>
      </c>
      <c r="BO267" s="137">
        <f t="shared" ca="1" si="86"/>
        <v>1</v>
      </c>
      <c r="BP267" s="137">
        <v>0</v>
      </c>
      <c r="BQ267" s="137">
        <f t="shared" ca="1" si="87"/>
        <v>1</v>
      </c>
      <c r="BR267" s="653">
        <v>0</v>
      </c>
      <c r="BS267" s="224">
        <f ca="1">(A267&gt;=N_LFP_Startdatum)*IF('  B  '!F$110=1,NOT(OR(A267&gt;S$221,A267&gt;S$231,A267&gt;S$241)),IF(BB267&gt;BC267,0,1))</f>
        <v>1</v>
      </c>
      <c r="BU267" s="254">
        <f t="shared" ca="1" si="8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89"/>
        <v>0</v>
      </c>
      <c r="CA267" s="156">
        <f t="shared" ca="1" si="111"/>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12"/>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90"/>
        <v>0</v>
      </c>
      <c r="CL267" s="270">
        <f t="shared" ca="1" si="91"/>
        <v>0</v>
      </c>
      <c r="CM267" s="265">
        <f t="shared" ca="1" si="92"/>
        <v>0</v>
      </c>
      <c r="CO267" s="222"/>
      <c r="CP267" s="137">
        <v>0</v>
      </c>
      <c r="CQ267" s="137">
        <v>0</v>
      </c>
      <c r="CR267" s="137">
        <v>0</v>
      </c>
      <c r="CS267" s="137">
        <f t="shared" ca="1" si="93"/>
        <v>0</v>
      </c>
      <c r="CT267" s="137">
        <f t="shared" ca="1" si="94"/>
        <v>0</v>
      </c>
      <c r="CU267" s="137">
        <f t="shared" ca="1" si="95"/>
        <v>0</v>
      </c>
      <c r="CV267" s="137">
        <v>0</v>
      </c>
      <c r="CW267" s="137">
        <f t="shared" ca="1" si="96"/>
        <v>0</v>
      </c>
      <c r="CX267" s="137">
        <v>0</v>
      </c>
      <c r="CY267" s="224">
        <f t="shared" ca="1" si="97"/>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98"/>
        <v>0</v>
      </c>
      <c r="DF267" s="279">
        <f t="shared" ca="1" si="99"/>
        <v>0</v>
      </c>
      <c r="DG267" s="280">
        <f t="shared" ca="1" si="100"/>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3"/>
        <v>0</v>
      </c>
      <c r="DN267" s="279">
        <f t="shared" ca="1" si="114"/>
        <v>0</v>
      </c>
      <c r="DO267" s="279">
        <f t="shared" ca="1" si="115"/>
        <v>0</v>
      </c>
    </row>
    <row r="268" spans="1:119" x14ac:dyDescent="0.25">
      <c r="A268" s="153">
        <f t="shared" si="116"/>
        <v>45296</v>
      </c>
      <c r="B268" s="154"/>
      <c r="C268" s="154"/>
      <c r="D268" s="154"/>
      <c r="E268" s="875" t="str">
        <f t="shared" ca="1" si="56"/>
        <v/>
      </c>
      <c r="F268" s="876"/>
      <c r="G268" s="667">
        <f t="shared" ca="1" si="101"/>
        <v>0</v>
      </c>
      <c r="H268" s="667">
        <f t="shared" ca="1" si="57"/>
        <v>0</v>
      </c>
      <c r="I268" s="667">
        <f t="shared" ca="1" si="58"/>
        <v>0</v>
      </c>
      <c r="P268" s="151">
        <f t="shared" si="59"/>
        <v>125</v>
      </c>
      <c r="R268" s="55">
        <f t="shared" si="60"/>
        <v>0</v>
      </c>
      <c r="S268" s="55">
        <f t="shared" si="102"/>
        <v>1</v>
      </c>
      <c r="U268" s="226">
        <f t="shared" si="61"/>
        <v>0</v>
      </c>
      <c r="V268" s="137">
        <f t="shared" ca="1" si="62"/>
        <v>0</v>
      </c>
      <c r="W268" s="137">
        <f t="shared" si="63"/>
        <v>0</v>
      </c>
      <c r="X268" s="137">
        <f t="shared" si="64"/>
        <v>0</v>
      </c>
      <c r="Y268" s="137">
        <f t="shared" ca="1" si="65"/>
        <v>0</v>
      </c>
      <c r="Z268" s="137">
        <f t="shared" ca="1" si="66"/>
        <v>0</v>
      </c>
      <c r="AA268" s="137">
        <f t="shared" ca="1" si="67"/>
        <v>0</v>
      </c>
      <c r="AB268" s="137">
        <f t="shared" ca="1" si="68"/>
        <v>0</v>
      </c>
      <c r="AC268" s="137">
        <f t="shared" ca="1" si="69"/>
        <v>0</v>
      </c>
      <c r="AD268" s="137">
        <f t="shared" ca="1" si="70"/>
        <v>0</v>
      </c>
      <c r="AE268" s="223">
        <f t="shared" ca="1" si="71"/>
        <v>0</v>
      </c>
      <c r="AF268" s="229" t="str">
        <f t="shared" ca="1" si="72"/>
        <v/>
      </c>
      <c r="AH268" s="235">
        <f t="shared" si="73"/>
        <v>45296</v>
      </c>
      <c r="AI268" s="137">
        <f t="shared" ca="1" si="74"/>
        <v>0</v>
      </c>
      <c r="AJ268" s="137">
        <f t="shared" si="75"/>
        <v>0</v>
      </c>
      <c r="AK268" s="137">
        <f t="shared" ca="1" si="103"/>
        <v>0</v>
      </c>
      <c r="AL268" s="137">
        <f t="shared" ca="1" si="104"/>
        <v>0</v>
      </c>
      <c r="AM268" s="137">
        <f t="shared" si="76"/>
        <v>0</v>
      </c>
      <c r="AN268" s="137">
        <f t="shared" ca="1" si="77"/>
        <v>0</v>
      </c>
      <c r="AO268" s="137">
        <f t="shared" ca="1" si="78"/>
        <v>0</v>
      </c>
      <c r="AP268" s="137">
        <f t="shared" ca="1" si="105"/>
        <v>0</v>
      </c>
      <c r="AQ268" s="137">
        <f t="shared" si="79"/>
        <v>0</v>
      </c>
      <c r="AR268" s="236">
        <f t="shared" ca="1" si="80"/>
        <v>0</v>
      </c>
      <c r="AT268" s="241">
        <f t="shared" ca="1" si="81"/>
        <v>28</v>
      </c>
      <c r="AV268" s="222">
        <f t="shared" ca="1" si="106"/>
        <v>0</v>
      </c>
      <c r="AW268" s="247">
        <f t="shared" si="82"/>
        <v>92</v>
      </c>
      <c r="AY268" s="239">
        <f ca="1">(AE268=5)*('  B  '!F$110=1)*OR(AND(AND(A268&gt;=S$220,A268&gt;=I$214),AND(A268&lt;=S$221,A268&lt;=I$215)),AND(AND(A268&gt;=S$230,A268&gt;=I$224),AND(A268&lt;=S$231,A268&lt;=I$225)),AND(AND(A268&gt;=S$240,A268&gt;=I$234),AND(A268&lt;=S$241,A268&lt;=I$235)))</f>
        <v>0</v>
      </c>
      <c r="BA268" s="222">
        <f t="shared" ca="1" si="107"/>
        <v>0</v>
      </c>
      <c r="BB268" s="55">
        <f t="shared" ca="1" si="83"/>
        <v>0</v>
      </c>
      <c r="BC268" s="247">
        <f t="shared" si="84"/>
        <v>182</v>
      </c>
      <c r="BE268" s="239">
        <f t="shared" ca="1" si="108"/>
        <v>0</v>
      </c>
      <c r="BG268" s="239">
        <f t="shared" ca="1" si="109"/>
        <v>0</v>
      </c>
      <c r="BI268" s="222"/>
      <c r="BJ268" s="137">
        <v>0</v>
      </c>
      <c r="BK268" s="137">
        <v>0</v>
      </c>
      <c r="BL268" s="137">
        <f t="shared" ca="1" si="85"/>
        <v>1</v>
      </c>
      <c r="BM268" s="137">
        <f t="shared" ca="1" si="110"/>
        <v>1</v>
      </c>
      <c r="BN268" s="137">
        <f ca="1">(A268&gt;=N_LFP_Startdatum)*IF('  B  '!F$110=1,NOT(OR(A268&gt;S$221,A268&gt;S$231,A268&gt;S$241)),IF(BB268&gt;BC268,0,1))</f>
        <v>1</v>
      </c>
      <c r="BO268" s="137">
        <f t="shared" ca="1" si="86"/>
        <v>1</v>
      </c>
      <c r="BP268" s="137">
        <v>0</v>
      </c>
      <c r="BQ268" s="137">
        <f t="shared" ca="1" si="87"/>
        <v>1</v>
      </c>
      <c r="BR268" s="653">
        <v>0</v>
      </c>
      <c r="BS268" s="224">
        <f ca="1">(A268&gt;=N_LFP_Startdatum)*IF('  B  '!F$110=1,NOT(OR(A268&gt;S$221,A268&gt;S$231,A268&gt;S$241)),IF(BB268&gt;BC268,0,1))</f>
        <v>1</v>
      </c>
      <c r="BU268" s="254">
        <f t="shared" ca="1" si="8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89"/>
        <v>0</v>
      </c>
      <c r="CA268" s="156">
        <f t="shared" ca="1" si="111"/>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12"/>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90"/>
        <v>0</v>
      </c>
      <c r="CL268" s="270">
        <f t="shared" ca="1" si="91"/>
        <v>0</v>
      </c>
      <c r="CM268" s="265">
        <f t="shared" ca="1" si="92"/>
        <v>0</v>
      </c>
      <c r="CO268" s="222"/>
      <c r="CP268" s="137">
        <v>0</v>
      </c>
      <c r="CQ268" s="137">
        <v>0</v>
      </c>
      <c r="CR268" s="137">
        <v>0</v>
      </c>
      <c r="CS268" s="137">
        <f t="shared" ca="1" si="93"/>
        <v>0</v>
      </c>
      <c r="CT268" s="137">
        <f t="shared" ca="1" si="94"/>
        <v>0</v>
      </c>
      <c r="CU268" s="137">
        <f t="shared" ca="1" si="95"/>
        <v>0</v>
      </c>
      <c r="CV268" s="137">
        <v>0</v>
      </c>
      <c r="CW268" s="137">
        <f t="shared" ca="1" si="96"/>
        <v>0</v>
      </c>
      <c r="CX268" s="137">
        <v>0</v>
      </c>
      <c r="CY268" s="224">
        <f t="shared" ca="1" si="97"/>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98"/>
        <v>0</v>
      </c>
      <c r="DF268" s="279">
        <f t="shared" ca="1" si="99"/>
        <v>0</v>
      </c>
      <c r="DG268" s="280">
        <f t="shared" ca="1" si="100"/>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3"/>
        <v>0</v>
      </c>
      <c r="DN268" s="279">
        <f t="shared" ca="1" si="114"/>
        <v>0</v>
      </c>
      <c r="DO268" s="279">
        <f t="shared" ca="1" si="115"/>
        <v>0</v>
      </c>
    </row>
    <row r="269" spans="1:119" x14ac:dyDescent="0.25">
      <c r="A269" s="153">
        <f t="shared" si="116"/>
        <v>45297</v>
      </c>
      <c r="B269" s="154"/>
      <c r="C269" s="154"/>
      <c r="D269" s="154"/>
      <c r="E269" s="875" t="str">
        <f t="shared" ca="1" si="56"/>
        <v/>
      </c>
      <c r="F269" s="876"/>
      <c r="G269" s="667">
        <f t="shared" ca="1" si="101"/>
        <v>0</v>
      </c>
      <c r="H269" s="667">
        <f t="shared" ca="1" si="57"/>
        <v>0</v>
      </c>
      <c r="I269" s="667">
        <f t="shared" ca="1" si="58"/>
        <v>0</v>
      </c>
      <c r="P269" s="151">
        <f t="shared" si="59"/>
        <v>125</v>
      </c>
      <c r="R269" s="55">
        <f t="shared" si="60"/>
        <v>0</v>
      </c>
      <c r="S269" s="55">
        <f t="shared" si="102"/>
        <v>1</v>
      </c>
      <c r="U269" s="226">
        <f t="shared" si="61"/>
        <v>0</v>
      </c>
      <c r="V269" s="137">
        <f t="shared" ca="1" si="62"/>
        <v>0</v>
      </c>
      <c r="W269" s="137">
        <f t="shared" si="63"/>
        <v>0</v>
      </c>
      <c r="X269" s="137">
        <f t="shared" si="64"/>
        <v>0</v>
      </c>
      <c r="Y269" s="137">
        <f t="shared" ca="1" si="65"/>
        <v>0</v>
      </c>
      <c r="Z269" s="137">
        <f t="shared" ca="1" si="66"/>
        <v>0</v>
      </c>
      <c r="AA269" s="137">
        <f t="shared" ca="1" si="67"/>
        <v>0</v>
      </c>
      <c r="AB269" s="137">
        <f t="shared" ca="1" si="68"/>
        <v>0</v>
      </c>
      <c r="AC269" s="137">
        <f t="shared" ca="1" si="69"/>
        <v>0</v>
      </c>
      <c r="AD269" s="137">
        <f t="shared" ca="1" si="70"/>
        <v>0</v>
      </c>
      <c r="AE269" s="223">
        <f t="shared" ca="1" si="71"/>
        <v>0</v>
      </c>
      <c r="AF269" s="229" t="str">
        <f t="shared" ca="1" si="72"/>
        <v/>
      </c>
      <c r="AH269" s="235">
        <f t="shared" si="73"/>
        <v>45297</v>
      </c>
      <c r="AI269" s="137">
        <f t="shared" ca="1" si="74"/>
        <v>0</v>
      </c>
      <c r="AJ269" s="137">
        <f t="shared" si="75"/>
        <v>0</v>
      </c>
      <c r="AK269" s="137">
        <f t="shared" ca="1" si="103"/>
        <v>0</v>
      </c>
      <c r="AL269" s="137">
        <f t="shared" ca="1" si="104"/>
        <v>0</v>
      </c>
      <c r="AM269" s="137">
        <f t="shared" si="76"/>
        <v>0</v>
      </c>
      <c r="AN269" s="137">
        <f t="shared" ca="1" si="77"/>
        <v>0</v>
      </c>
      <c r="AO269" s="137">
        <f t="shared" ca="1" si="78"/>
        <v>0</v>
      </c>
      <c r="AP269" s="137">
        <f t="shared" ca="1" si="105"/>
        <v>0</v>
      </c>
      <c r="AQ269" s="137">
        <f t="shared" si="79"/>
        <v>0</v>
      </c>
      <c r="AR269" s="236">
        <f t="shared" ca="1" si="80"/>
        <v>0</v>
      </c>
      <c r="AT269" s="241">
        <f t="shared" ca="1" si="81"/>
        <v>28</v>
      </c>
      <c r="AV269" s="222">
        <f t="shared" ca="1" si="106"/>
        <v>0</v>
      </c>
      <c r="AW269" s="247">
        <f t="shared" si="82"/>
        <v>92</v>
      </c>
      <c r="AY269" s="239">
        <f ca="1">(AE269=5)*('  B  '!F$110=1)*OR(AND(AND(A269&gt;=S$220,A269&gt;=I$214),AND(A269&lt;=S$221,A269&lt;=I$215)),AND(AND(A269&gt;=S$230,A269&gt;=I$224),AND(A269&lt;=S$231,A269&lt;=I$225)),AND(AND(A269&gt;=S$240,A269&gt;=I$234),AND(A269&lt;=S$241,A269&lt;=I$235)))</f>
        <v>0</v>
      </c>
      <c r="BA269" s="222">
        <f t="shared" ca="1" si="107"/>
        <v>0</v>
      </c>
      <c r="BB269" s="55">
        <f t="shared" ca="1" si="83"/>
        <v>0</v>
      </c>
      <c r="BC269" s="247">
        <f t="shared" si="84"/>
        <v>182</v>
      </c>
      <c r="BE269" s="239">
        <f t="shared" ca="1" si="108"/>
        <v>0</v>
      </c>
      <c r="BG269" s="239">
        <f t="shared" ca="1" si="109"/>
        <v>0</v>
      </c>
      <c r="BI269" s="222"/>
      <c r="BJ269" s="137">
        <v>0</v>
      </c>
      <c r="BK269" s="137">
        <v>0</v>
      </c>
      <c r="BL269" s="137">
        <f t="shared" ca="1" si="85"/>
        <v>1</v>
      </c>
      <c r="BM269" s="137">
        <f t="shared" ca="1" si="110"/>
        <v>1</v>
      </c>
      <c r="BN269" s="137">
        <f ca="1">(A269&gt;=N_LFP_Startdatum)*IF('  B  '!F$110=1,NOT(OR(A269&gt;S$221,A269&gt;S$231,A269&gt;S$241)),IF(BB269&gt;BC269,0,1))</f>
        <v>1</v>
      </c>
      <c r="BO269" s="137">
        <f t="shared" ca="1" si="86"/>
        <v>1</v>
      </c>
      <c r="BP269" s="137">
        <v>0</v>
      </c>
      <c r="BQ269" s="137">
        <f t="shared" ca="1" si="87"/>
        <v>1</v>
      </c>
      <c r="BR269" s="653">
        <v>0</v>
      </c>
      <c r="BS269" s="224">
        <f ca="1">(A269&gt;=N_LFP_Startdatum)*IF('  B  '!F$110=1,NOT(OR(A269&gt;S$221,A269&gt;S$231,A269&gt;S$241)),IF(BB269&gt;BC269,0,1))</f>
        <v>1</v>
      </c>
      <c r="BU269" s="254">
        <f t="shared" ca="1" si="8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89"/>
        <v>0</v>
      </c>
      <c r="CA269" s="156">
        <f t="shared" ca="1" si="111"/>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12"/>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90"/>
        <v>0</v>
      </c>
      <c r="CL269" s="270">
        <f t="shared" ca="1" si="91"/>
        <v>0</v>
      </c>
      <c r="CM269" s="265">
        <f t="shared" ca="1" si="92"/>
        <v>0</v>
      </c>
      <c r="CO269" s="222"/>
      <c r="CP269" s="137">
        <v>0</v>
      </c>
      <c r="CQ269" s="137">
        <v>0</v>
      </c>
      <c r="CR269" s="137">
        <v>0</v>
      </c>
      <c r="CS269" s="137">
        <f t="shared" ca="1" si="93"/>
        <v>0</v>
      </c>
      <c r="CT269" s="137">
        <f t="shared" ca="1" si="94"/>
        <v>0</v>
      </c>
      <c r="CU269" s="137">
        <f t="shared" ca="1" si="95"/>
        <v>0</v>
      </c>
      <c r="CV269" s="137">
        <v>0</v>
      </c>
      <c r="CW269" s="137">
        <f t="shared" ca="1" si="96"/>
        <v>0</v>
      </c>
      <c r="CX269" s="137">
        <v>0</v>
      </c>
      <c r="CY269" s="224">
        <f t="shared" ca="1" si="97"/>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98"/>
        <v>0</v>
      </c>
      <c r="DF269" s="279">
        <f t="shared" ca="1" si="99"/>
        <v>0</v>
      </c>
      <c r="DG269" s="280">
        <f t="shared" ca="1" si="100"/>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3"/>
        <v>0</v>
      </c>
      <c r="DN269" s="279">
        <f t="shared" ca="1" si="114"/>
        <v>0</v>
      </c>
      <c r="DO269" s="279">
        <f t="shared" ca="1" si="115"/>
        <v>0</v>
      </c>
    </row>
    <row r="270" spans="1:119" x14ac:dyDescent="0.25">
      <c r="A270" s="153">
        <f t="shared" si="116"/>
        <v>45298</v>
      </c>
      <c r="B270" s="154"/>
      <c r="C270" s="154"/>
      <c r="D270" s="154"/>
      <c r="E270" s="875" t="str">
        <f t="shared" ca="1" si="56"/>
        <v/>
      </c>
      <c r="F270" s="876"/>
      <c r="G270" s="667">
        <f t="shared" ca="1" si="101"/>
        <v>0</v>
      </c>
      <c r="H270" s="667">
        <f t="shared" ca="1" si="57"/>
        <v>0</v>
      </c>
      <c r="I270" s="667">
        <f t="shared" ca="1" si="58"/>
        <v>0</v>
      </c>
      <c r="P270" s="151">
        <f t="shared" si="59"/>
        <v>125</v>
      </c>
      <c r="R270" s="55">
        <f t="shared" si="60"/>
        <v>0</v>
      </c>
      <c r="S270" s="55">
        <f t="shared" si="102"/>
        <v>1</v>
      </c>
      <c r="U270" s="226">
        <f t="shared" si="61"/>
        <v>0</v>
      </c>
      <c r="V270" s="137">
        <f t="shared" ca="1" si="62"/>
        <v>0</v>
      </c>
      <c r="W270" s="137">
        <f t="shared" si="63"/>
        <v>0</v>
      </c>
      <c r="X270" s="137">
        <f t="shared" si="64"/>
        <v>0</v>
      </c>
      <c r="Y270" s="137">
        <f t="shared" ca="1" si="65"/>
        <v>0</v>
      </c>
      <c r="Z270" s="137">
        <f t="shared" ca="1" si="66"/>
        <v>0</v>
      </c>
      <c r="AA270" s="137">
        <f t="shared" ca="1" si="67"/>
        <v>0</v>
      </c>
      <c r="AB270" s="137">
        <f t="shared" ca="1" si="68"/>
        <v>0</v>
      </c>
      <c r="AC270" s="137">
        <f t="shared" ca="1" si="69"/>
        <v>0</v>
      </c>
      <c r="AD270" s="137">
        <f t="shared" ca="1" si="70"/>
        <v>0</v>
      </c>
      <c r="AE270" s="223">
        <f t="shared" ca="1" si="71"/>
        <v>0</v>
      </c>
      <c r="AF270" s="229" t="str">
        <f t="shared" ca="1" si="72"/>
        <v/>
      </c>
      <c r="AH270" s="235">
        <f t="shared" si="73"/>
        <v>45298</v>
      </c>
      <c r="AI270" s="137">
        <f t="shared" ca="1" si="74"/>
        <v>0</v>
      </c>
      <c r="AJ270" s="137">
        <f t="shared" si="75"/>
        <v>0</v>
      </c>
      <c r="AK270" s="137">
        <f t="shared" ca="1" si="103"/>
        <v>0</v>
      </c>
      <c r="AL270" s="137">
        <f t="shared" ca="1" si="104"/>
        <v>0</v>
      </c>
      <c r="AM270" s="137">
        <f t="shared" si="76"/>
        <v>0</v>
      </c>
      <c r="AN270" s="137">
        <f t="shared" ca="1" si="77"/>
        <v>0</v>
      </c>
      <c r="AO270" s="137">
        <f t="shared" ca="1" si="78"/>
        <v>0</v>
      </c>
      <c r="AP270" s="137">
        <f t="shared" ca="1" si="105"/>
        <v>0</v>
      </c>
      <c r="AQ270" s="137">
        <f t="shared" si="79"/>
        <v>0</v>
      </c>
      <c r="AR270" s="236">
        <f t="shared" ca="1" si="80"/>
        <v>0</v>
      </c>
      <c r="AT270" s="241">
        <f t="shared" ca="1" si="81"/>
        <v>28</v>
      </c>
      <c r="AV270" s="222">
        <f t="shared" ca="1" si="106"/>
        <v>0</v>
      </c>
      <c r="AW270" s="247">
        <f t="shared" si="82"/>
        <v>92</v>
      </c>
      <c r="AY270" s="239">
        <f ca="1">(AE270=5)*('  B  '!F$110=1)*OR(AND(AND(A270&gt;=S$220,A270&gt;=I$214),AND(A270&lt;=S$221,A270&lt;=I$215)),AND(AND(A270&gt;=S$230,A270&gt;=I$224),AND(A270&lt;=S$231,A270&lt;=I$225)),AND(AND(A270&gt;=S$240,A270&gt;=I$234),AND(A270&lt;=S$241,A270&lt;=I$235)))</f>
        <v>0</v>
      </c>
      <c r="BA270" s="222">
        <f t="shared" ca="1" si="107"/>
        <v>0</v>
      </c>
      <c r="BB270" s="55">
        <f t="shared" ca="1" si="83"/>
        <v>0</v>
      </c>
      <c r="BC270" s="247">
        <f t="shared" si="84"/>
        <v>182</v>
      </c>
      <c r="BE270" s="239">
        <f t="shared" ca="1" si="108"/>
        <v>0</v>
      </c>
      <c r="BG270" s="239">
        <f t="shared" ca="1" si="109"/>
        <v>0</v>
      </c>
      <c r="BI270" s="222"/>
      <c r="BJ270" s="137">
        <v>0</v>
      </c>
      <c r="BK270" s="137">
        <v>0</v>
      </c>
      <c r="BL270" s="137">
        <f t="shared" ca="1" si="85"/>
        <v>1</v>
      </c>
      <c r="BM270" s="137">
        <f t="shared" ca="1" si="110"/>
        <v>1</v>
      </c>
      <c r="BN270" s="137">
        <f ca="1">(A270&gt;=N_LFP_Startdatum)*IF('  B  '!F$110=1,NOT(OR(A270&gt;S$221,A270&gt;S$231,A270&gt;S$241)),IF(BB270&gt;BC270,0,1))</f>
        <v>1</v>
      </c>
      <c r="BO270" s="137">
        <f t="shared" ca="1" si="86"/>
        <v>1</v>
      </c>
      <c r="BP270" s="137">
        <v>0</v>
      </c>
      <c r="BQ270" s="137">
        <f t="shared" ca="1" si="87"/>
        <v>1</v>
      </c>
      <c r="BR270" s="653">
        <v>0</v>
      </c>
      <c r="BS270" s="224">
        <f ca="1">(A270&gt;=N_LFP_Startdatum)*IF('  B  '!F$110=1,NOT(OR(A270&gt;S$221,A270&gt;S$231,A270&gt;S$241)),IF(BB270&gt;BC270,0,1))</f>
        <v>1</v>
      </c>
      <c r="BU270" s="254">
        <f t="shared" ca="1" si="8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89"/>
        <v>0</v>
      </c>
      <c r="CA270" s="156">
        <f t="shared" ca="1" si="111"/>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12"/>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90"/>
        <v>0</v>
      </c>
      <c r="CL270" s="270">
        <f t="shared" ca="1" si="91"/>
        <v>0</v>
      </c>
      <c r="CM270" s="265">
        <f t="shared" ca="1" si="92"/>
        <v>0</v>
      </c>
      <c r="CO270" s="222"/>
      <c r="CP270" s="137">
        <v>0</v>
      </c>
      <c r="CQ270" s="137">
        <v>0</v>
      </c>
      <c r="CR270" s="137">
        <v>0</v>
      </c>
      <c r="CS270" s="137">
        <f t="shared" ca="1" si="93"/>
        <v>0</v>
      </c>
      <c r="CT270" s="137">
        <f t="shared" ca="1" si="94"/>
        <v>0</v>
      </c>
      <c r="CU270" s="137">
        <f t="shared" ca="1" si="95"/>
        <v>0</v>
      </c>
      <c r="CV270" s="137">
        <v>0</v>
      </c>
      <c r="CW270" s="137">
        <f t="shared" ca="1" si="96"/>
        <v>0</v>
      </c>
      <c r="CX270" s="137">
        <v>0</v>
      </c>
      <c r="CY270" s="224">
        <f t="shared" ca="1" si="97"/>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98"/>
        <v>0</v>
      </c>
      <c r="DF270" s="279">
        <f t="shared" ca="1" si="99"/>
        <v>0</v>
      </c>
      <c r="DG270" s="280">
        <f t="shared" ca="1" si="100"/>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3"/>
        <v>0</v>
      </c>
      <c r="DN270" s="279">
        <f t="shared" ca="1" si="114"/>
        <v>0</v>
      </c>
      <c r="DO270" s="279">
        <f t="shared" ca="1" si="115"/>
        <v>0</v>
      </c>
    </row>
    <row r="271" spans="1:119" x14ac:dyDescent="0.25">
      <c r="A271" s="153">
        <f t="shared" si="116"/>
        <v>45299</v>
      </c>
      <c r="B271" s="154"/>
      <c r="C271" s="154"/>
      <c r="D271" s="154"/>
      <c r="E271" s="875" t="str">
        <f t="shared" ca="1" si="56"/>
        <v/>
      </c>
      <c r="F271" s="876"/>
      <c r="G271" s="667">
        <f t="shared" ca="1" si="101"/>
        <v>0</v>
      </c>
      <c r="H271" s="667">
        <f t="shared" ca="1" si="57"/>
        <v>0</v>
      </c>
      <c r="I271" s="667">
        <f t="shared" ca="1" si="58"/>
        <v>0</v>
      </c>
      <c r="P271" s="151">
        <f t="shared" si="59"/>
        <v>125</v>
      </c>
      <c r="R271" s="55">
        <f t="shared" si="60"/>
        <v>0</v>
      </c>
      <c r="S271" s="55">
        <f t="shared" si="102"/>
        <v>1</v>
      </c>
      <c r="U271" s="226">
        <f t="shared" si="61"/>
        <v>0</v>
      </c>
      <c r="V271" s="137">
        <f t="shared" ca="1" si="62"/>
        <v>0</v>
      </c>
      <c r="W271" s="137">
        <f t="shared" si="63"/>
        <v>0</v>
      </c>
      <c r="X271" s="137">
        <f t="shared" si="64"/>
        <v>0</v>
      </c>
      <c r="Y271" s="137">
        <f t="shared" ca="1" si="65"/>
        <v>0</v>
      </c>
      <c r="Z271" s="137">
        <f t="shared" ca="1" si="66"/>
        <v>0</v>
      </c>
      <c r="AA271" s="137">
        <f t="shared" ca="1" si="67"/>
        <v>0</v>
      </c>
      <c r="AB271" s="137">
        <f t="shared" ca="1" si="68"/>
        <v>0</v>
      </c>
      <c r="AC271" s="137">
        <f t="shared" ca="1" si="69"/>
        <v>0</v>
      </c>
      <c r="AD271" s="137">
        <f t="shared" ca="1" si="70"/>
        <v>0</v>
      </c>
      <c r="AE271" s="223">
        <f t="shared" ca="1" si="71"/>
        <v>0</v>
      </c>
      <c r="AF271" s="229" t="str">
        <f t="shared" ca="1" si="72"/>
        <v/>
      </c>
      <c r="AH271" s="235">
        <f t="shared" si="73"/>
        <v>45299</v>
      </c>
      <c r="AI271" s="137">
        <f t="shared" ca="1" si="74"/>
        <v>0</v>
      </c>
      <c r="AJ271" s="137">
        <f t="shared" si="75"/>
        <v>0</v>
      </c>
      <c r="AK271" s="137">
        <f t="shared" ca="1" si="103"/>
        <v>0</v>
      </c>
      <c r="AL271" s="137">
        <f t="shared" ca="1" si="104"/>
        <v>0</v>
      </c>
      <c r="AM271" s="137">
        <f t="shared" si="76"/>
        <v>0</v>
      </c>
      <c r="AN271" s="137">
        <f t="shared" ca="1" si="77"/>
        <v>0</v>
      </c>
      <c r="AO271" s="137">
        <f t="shared" ca="1" si="78"/>
        <v>0</v>
      </c>
      <c r="AP271" s="137">
        <f t="shared" ca="1" si="105"/>
        <v>0</v>
      </c>
      <c r="AQ271" s="137">
        <f t="shared" si="79"/>
        <v>0</v>
      </c>
      <c r="AR271" s="236">
        <f t="shared" ca="1" si="80"/>
        <v>0</v>
      </c>
      <c r="AT271" s="241">
        <f t="shared" ca="1" si="81"/>
        <v>28</v>
      </c>
      <c r="AV271" s="222">
        <f t="shared" ca="1" si="106"/>
        <v>0</v>
      </c>
      <c r="AW271" s="247">
        <f t="shared" si="82"/>
        <v>92</v>
      </c>
      <c r="AY271" s="239">
        <f ca="1">(AE271=5)*('  B  '!F$110=1)*OR(AND(AND(A271&gt;=S$220,A271&gt;=I$214),AND(A271&lt;=S$221,A271&lt;=I$215)),AND(AND(A271&gt;=S$230,A271&gt;=I$224),AND(A271&lt;=S$231,A271&lt;=I$225)),AND(AND(A271&gt;=S$240,A271&gt;=I$234),AND(A271&lt;=S$241,A271&lt;=I$235)))</f>
        <v>0</v>
      </c>
      <c r="BA271" s="222">
        <f t="shared" ca="1" si="107"/>
        <v>0</v>
      </c>
      <c r="BB271" s="55">
        <f t="shared" ca="1" si="83"/>
        <v>0</v>
      </c>
      <c r="BC271" s="247">
        <f t="shared" si="84"/>
        <v>182</v>
      </c>
      <c r="BE271" s="239">
        <f t="shared" ca="1" si="108"/>
        <v>0</v>
      </c>
      <c r="BG271" s="239">
        <f t="shared" ca="1" si="109"/>
        <v>0</v>
      </c>
      <c r="BI271" s="222"/>
      <c r="BJ271" s="137">
        <v>0</v>
      </c>
      <c r="BK271" s="137">
        <v>0</v>
      </c>
      <c r="BL271" s="137">
        <f t="shared" ca="1" si="85"/>
        <v>1</v>
      </c>
      <c r="BM271" s="137">
        <f t="shared" ca="1" si="110"/>
        <v>1</v>
      </c>
      <c r="BN271" s="137">
        <f ca="1">(A271&gt;=N_LFP_Startdatum)*IF('  B  '!F$110=1,NOT(OR(A271&gt;S$221,A271&gt;S$231,A271&gt;S$241)),IF(BB271&gt;BC271,0,1))</f>
        <v>1</v>
      </c>
      <c r="BO271" s="137">
        <f t="shared" ca="1" si="86"/>
        <v>1</v>
      </c>
      <c r="BP271" s="137">
        <v>0</v>
      </c>
      <c r="BQ271" s="137">
        <f t="shared" ca="1" si="87"/>
        <v>1</v>
      </c>
      <c r="BR271" s="653">
        <v>0</v>
      </c>
      <c r="BS271" s="224">
        <f ca="1">(A271&gt;=N_LFP_Startdatum)*IF('  B  '!F$110=1,NOT(OR(A271&gt;S$221,A271&gt;S$231,A271&gt;S$241)),IF(BB271&gt;BC271,0,1))</f>
        <v>1</v>
      </c>
      <c r="BU271" s="254">
        <f t="shared" ca="1" si="8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89"/>
        <v>0</v>
      </c>
      <c r="CA271" s="156">
        <f t="shared" ca="1" si="111"/>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12"/>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90"/>
        <v>0</v>
      </c>
      <c r="CL271" s="270">
        <f t="shared" ca="1" si="91"/>
        <v>0</v>
      </c>
      <c r="CM271" s="265">
        <f t="shared" ca="1" si="92"/>
        <v>0</v>
      </c>
      <c r="CO271" s="222"/>
      <c r="CP271" s="137">
        <v>0</v>
      </c>
      <c r="CQ271" s="137">
        <v>0</v>
      </c>
      <c r="CR271" s="137">
        <v>0</v>
      </c>
      <c r="CS271" s="137">
        <f t="shared" ca="1" si="93"/>
        <v>0</v>
      </c>
      <c r="CT271" s="137">
        <f t="shared" ca="1" si="94"/>
        <v>0</v>
      </c>
      <c r="CU271" s="137">
        <f t="shared" ca="1" si="95"/>
        <v>0</v>
      </c>
      <c r="CV271" s="137">
        <v>0</v>
      </c>
      <c r="CW271" s="137">
        <f t="shared" ca="1" si="96"/>
        <v>0</v>
      </c>
      <c r="CX271" s="137">
        <v>0</v>
      </c>
      <c r="CY271" s="224">
        <f t="shared" ca="1" si="97"/>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98"/>
        <v>0</v>
      </c>
      <c r="DF271" s="279">
        <f t="shared" ca="1" si="99"/>
        <v>0</v>
      </c>
      <c r="DG271" s="280">
        <f t="shared" ca="1" si="100"/>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3"/>
        <v>0</v>
      </c>
      <c r="DN271" s="279">
        <f t="shared" ca="1" si="114"/>
        <v>0</v>
      </c>
      <c r="DO271" s="279">
        <f t="shared" ca="1" si="115"/>
        <v>0</v>
      </c>
    </row>
    <row r="272" spans="1:119" x14ac:dyDescent="0.25">
      <c r="A272" s="153">
        <f t="shared" si="116"/>
        <v>45300</v>
      </c>
      <c r="B272" s="154"/>
      <c r="C272" s="154"/>
      <c r="D272" s="154"/>
      <c r="E272" s="875" t="str">
        <f t="shared" ca="1" si="56"/>
        <v/>
      </c>
      <c r="F272" s="876"/>
      <c r="G272" s="667">
        <f t="shared" ca="1" si="101"/>
        <v>0</v>
      </c>
      <c r="H272" s="667">
        <f t="shared" ca="1" si="57"/>
        <v>0</v>
      </c>
      <c r="I272" s="667">
        <f t="shared" ca="1" si="58"/>
        <v>0</v>
      </c>
      <c r="P272" s="151">
        <f t="shared" si="59"/>
        <v>125</v>
      </c>
      <c r="R272" s="55">
        <f t="shared" si="60"/>
        <v>0</v>
      </c>
      <c r="S272" s="55">
        <f t="shared" si="102"/>
        <v>1</v>
      </c>
      <c r="U272" s="226">
        <f t="shared" si="61"/>
        <v>0</v>
      </c>
      <c r="V272" s="137">
        <f t="shared" ca="1" si="62"/>
        <v>0</v>
      </c>
      <c r="W272" s="137">
        <f t="shared" si="63"/>
        <v>0</v>
      </c>
      <c r="X272" s="137">
        <f t="shared" si="64"/>
        <v>0</v>
      </c>
      <c r="Y272" s="137">
        <f t="shared" ca="1" si="65"/>
        <v>0</v>
      </c>
      <c r="Z272" s="137">
        <f t="shared" ca="1" si="66"/>
        <v>0</v>
      </c>
      <c r="AA272" s="137">
        <f t="shared" ca="1" si="67"/>
        <v>0</v>
      </c>
      <c r="AB272" s="137">
        <f t="shared" ca="1" si="68"/>
        <v>0</v>
      </c>
      <c r="AC272" s="137">
        <f t="shared" ca="1" si="69"/>
        <v>0</v>
      </c>
      <c r="AD272" s="137">
        <f t="shared" ca="1" si="70"/>
        <v>0</v>
      </c>
      <c r="AE272" s="223">
        <f t="shared" ca="1" si="71"/>
        <v>0</v>
      </c>
      <c r="AF272" s="229" t="str">
        <f t="shared" ca="1" si="72"/>
        <v/>
      </c>
      <c r="AH272" s="235">
        <f t="shared" si="73"/>
        <v>45300</v>
      </c>
      <c r="AI272" s="137">
        <f t="shared" ca="1" si="74"/>
        <v>0</v>
      </c>
      <c r="AJ272" s="137">
        <f t="shared" si="75"/>
        <v>0</v>
      </c>
      <c r="AK272" s="137">
        <f t="shared" ca="1" si="103"/>
        <v>0</v>
      </c>
      <c r="AL272" s="137">
        <f t="shared" ca="1" si="104"/>
        <v>0</v>
      </c>
      <c r="AM272" s="137">
        <f t="shared" si="76"/>
        <v>0</v>
      </c>
      <c r="AN272" s="137">
        <f t="shared" ca="1" si="77"/>
        <v>0</v>
      </c>
      <c r="AO272" s="137">
        <f t="shared" ca="1" si="78"/>
        <v>0</v>
      </c>
      <c r="AP272" s="137">
        <f t="shared" ca="1" si="105"/>
        <v>0</v>
      </c>
      <c r="AQ272" s="137">
        <f t="shared" si="79"/>
        <v>0</v>
      </c>
      <c r="AR272" s="236">
        <f t="shared" ca="1" si="80"/>
        <v>0</v>
      </c>
      <c r="AT272" s="241">
        <f t="shared" ca="1" si="81"/>
        <v>28</v>
      </c>
      <c r="AV272" s="222">
        <f t="shared" ca="1" si="106"/>
        <v>0</v>
      </c>
      <c r="AW272" s="247">
        <f t="shared" si="82"/>
        <v>92</v>
      </c>
      <c r="AY272" s="239">
        <f ca="1">(AE272=5)*('  B  '!F$110=1)*OR(AND(AND(A272&gt;=S$220,A272&gt;=I$214),AND(A272&lt;=S$221,A272&lt;=I$215)),AND(AND(A272&gt;=S$230,A272&gt;=I$224),AND(A272&lt;=S$231,A272&lt;=I$225)),AND(AND(A272&gt;=S$240,A272&gt;=I$234),AND(A272&lt;=S$241,A272&lt;=I$235)))</f>
        <v>0</v>
      </c>
      <c r="BA272" s="222">
        <f t="shared" ca="1" si="107"/>
        <v>0</v>
      </c>
      <c r="BB272" s="55">
        <f t="shared" ca="1" si="83"/>
        <v>0</v>
      </c>
      <c r="BC272" s="247">
        <f t="shared" si="84"/>
        <v>182</v>
      </c>
      <c r="BE272" s="239">
        <f t="shared" ca="1" si="108"/>
        <v>0</v>
      </c>
      <c r="BG272" s="239">
        <f t="shared" ca="1" si="109"/>
        <v>0</v>
      </c>
      <c r="BI272" s="222"/>
      <c r="BJ272" s="137">
        <v>0</v>
      </c>
      <c r="BK272" s="137">
        <v>0</v>
      </c>
      <c r="BL272" s="137">
        <f t="shared" ca="1" si="85"/>
        <v>1</v>
      </c>
      <c r="BM272" s="137">
        <f t="shared" ca="1" si="110"/>
        <v>1</v>
      </c>
      <c r="BN272" s="137">
        <f ca="1">(A272&gt;=N_LFP_Startdatum)*IF('  B  '!F$110=1,NOT(OR(A272&gt;S$221,A272&gt;S$231,A272&gt;S$241)),IF(BB272&gt;BC272,0,1))</f>
        <v>1</v>
      </c>
      <c r="BO272" s="137">
        <f t="shared" ca="1" si="86"/>
        <v>1</v>
      </c>
      <c r="BP272" s="137">
        <v>0</v>
      </c>
      <c r="BQ272" s="137">
        <f t="shared" ca="1" si="87"/>
        <v>1</v>
      </c>
      <c r="BR272" s="653">
        <v>0</v>
      </c>
      <c r="BS272" s="224">
        <f ca="1">(A272&gt;=N_LFP_Startdatum)*IF('  B  '!F$110=1,NOT(OR(A272&gt;S$221,A272&gt;S$231,A272&gt;S$241)),IF(BB272&gt;BC272,0,1))</f>
        <v>1</v>
      </c>
      <c r="BU272" s="254">
        <f t="shared" ca="1" si="8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89"/>
        <v>0</v>
      </c>
      <c r="CA272" s="156">
        <f t="shared" ca="1" si="111"/>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12"/>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90"/>
        <v>0</v>
      </c>
      <c r="CL272" s="270">
        <f t="shared" ca="1" si="91"/>
        <v>0</v>
      </c>
      <c r="CM272" s="265">
        <f t="shared" ca="1" si="92"/>
        <v>0</v>
      </c>
      <c r="CO272" s="222"/>
      <c r="CP272" s="137">
        <v>0</v>
      </c>
      <c r="CQ272" s="137">
        <v>0</v>
      </c>
      <c r="CR272" s="137">
        <v>0</v>
      </c>
      <c r="CS272" s="137">
        <f t="shared" ca="1" si="93"/>
        <v>0</v>
      </c>
      <c r="CT272" s="137">
        <f t="shared" ca="1" si="94"/>
        <v>0</v>
      </c>
      <c r="CU272" s="137">
        <f t="shared" ca="1" si="95"/>
        <v>0</v>
      </c>
      <c r="CV272" s="137">
        <v>0</v>
      </c>
      <c r="CW272" s="137">
        <f t="shared" ca="1" si="96"/>
        <v>0</v>
      </c>
      <c r="CX272" s="137">
        <v>0</v>
      </c>
      <c r="CY272" s="224">
        <f t="shared" ca="1" si="97"/>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98"/>
        <v>0</v>
      </c>
      <c r="DF272" s="279">
        <f t="shared" ca="1" si="99"/>
        <v>0</v>
      </c>
      <c r="DG272" s="280">
        <f t="shared" ca="1" si="100"/>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3"/>
        <v>0</v>
      </c>
      <c r="DN272" s="279">
        <f t="shared" ca="1" si="114"/>
        <v>0</v>
      </c>
      <c r="DO272" s="279">
        <f t="shared" ca="1" si="115"/>
        <v>0</v>
      </c>
    </row>
    <row r="273" spans="1:119" x14ac:dyDescent="0.25">
      <c r="A273" s="153">
        <f t="shared" si="116"/>
        <v>45301</v>
      </c>
      <c r="B273" s="154"/>
      <c r="C273" s="154"/>
      <c r="D273" s="154"/>
      <c r="E273" s="875" t="str">
        <f t="shared" ca="1" si="56"/>
        <v/>
      </c>
      <c r="F273" s="876"/>
      <c r="G273" s="667">
        <f ca="1">MAX(0,(N_ArbeitsstundenSollProKT*BU273-BV273)*OFFSET(BI273,0,AE273,1,1))</f>
        <v>0</v>
      </c>
      <c r="H273" s="667">
        <f t="shared" ca="1" si="57"/>
        <v>0</v>
      </c>
      <c r="I273" s="667">
        <f t="shared" ca="1" si="58"/>
        <v>0</v>
      </c>
      <c r="P273" s="151">
        <f t="shared" si="59"/>
        <v>125</v>
      </c>
      <c r="R273" s="55">
        <f t="shared" si="60"/>
        <v>0</v>
      </c>
      <c r="S273" s="55">
        <f t="shared" si="102"/>
        <v>1</v>
      </c>
      <c r="U273" s="226">
        <f t="shared" si="61"/>
        <v>0</v>
      </c>
      <c r="V273" s="137">
        <f t="shared" ca="1" si="62"/>
        <v>0</v>
      </c>
      <c r="W273" s="137">
        <f t="shared" si="63"/>
        <v>0</v>
      </c>
      <c r="X273" s="137">
        <f t="shared" si="64"/>
        <v>0</v>
      </c>
      <c r="Y273" s="137">
        <f t="shared" ca="1" si="65"/>
        <v>0</v>
      </c>
      <c r="Z273" s="137">
        <f t="shared" ca="1" si="66"/>
        <v>0</v>
      </c>
      <c r="AA273" s="137">
        <f t="shared" ca="1" si="67"/>
        <v>0</v>
      </c>
      <c r="AB273" s="137">
        <f t="shared" ca="1" si="68"/>
        <v>0</v>
      </c>
      <c r="AC273" s="137">
        <f t="shared" ca="1" si="69"/>
        <v>0</v>
      </c>
      <c r="AD273" s="137">
        <f t="shared" ca="1" si="70"/>
        <v>0</v>
      </c>
      <c r="AE273" s="223">
        <f t="shared" ca="1" si="71"/>
        <v>0</v>
      </c>
      <c r="AF273" s="229" t="str">
        <f t="shared" ca="1" si="72"/>
        <v/>
      </c>
      <c r="AH273" s="235">
        <f t="shared" si="73"/>
        <v>45301</v>
      </c>
      <c r="AI273" s="137">
        <f t="shared" ca="1" si="74"/>
        <v>0</v>
      </c>
      <c r="AJ273" s="137">
        <f t="shared" si="75"/>
        <v>0</v>
      </c>
      <c r="AK273" s="137">
        <f t="shared" ca="1" si="103"/>
        <v>0</v>
      </c>
      <c r="AL273" s="137">
        <f t="shared" ca="1" si="104"/>
        <v>0</v>
      </c>
      <c r="AM273" s="137">
        <f t="shared" si="76"/>
        <v>0</v>
      </c>
      <c r="AN273" s="137">
        <f t="shared" ca="1" si="77"/>
        <v>0</v>
      </c>
      <c r="AO273" s="137">
        <f t="shared" ca="1" si="78"/>
        <v>0</v>
      </c>
      <c r="AP273" s="137">
        <f t="shared" ca="1" si="105"/>
        <v>0</v>
      </c>
      <c r="AQ273" s="137">
        <f t="shared" si="79"/>
        <v>0</v>
      </c>
      <c r="AR273" s="236">
        <f t="shared" ca="1" si="80"/>
        <v>0</v>
      </c>
      <c r="AT273" s="241">
        <f t="shared" ca="1" si="81"/>
        <v>28</v>
      </c>
      <c r="AV273" s="222">
        <f t="shared" ca="1" si="106"/>
        <v>0</v>
      </c>
      <c r="AW273" s="247">
        <f t="shared" si="82"/>
        <v>92</v>
      </c>
      <c r="AY273" s="239">
        <f ca="1">(AE273=5)*('  B  '!F$110=1)*OR(AND(AND(A273&gt;=S$220,A273&gt;=I$214),AND(A273&lt;=S$221,A273&lt;=I$215)),AND(AND(A273&gt;=S$230,A273&gt;=I$224),AND(A273&lt;=S$231,A273&lt;=I$225)),AND(AND(A273&gt;=S$240,A273&gt;=I$234),AND(A273&lt;=S$241,A273&lt;=I$235)))</f>
        <v>0</v>
      </c>
      <c r="BA273" s="222">
        <f t="shared" ca="1" si="107"/>
        <v>0</v>
      </c>
      <c r="BB273" s="55">
        <f t="shared" ca="1" si="83"/>
        <v>0</v>
      </c>
      <c r="BC273" s="247">
        <f t="shared" si="84"/>
        <v>182</v>
      </c>
      <c r="BE273" s="239">
        <f t="shared" ca="1" si="108"/>
        <v>0</v>
      </c>
      <c r="BG273" s="239">
        <f t="shared" ca="1" si="109"/>
        <v>0</v>
      </c>
      <c r="BI273" s="222"/>
      <c r="BJ273" s="137">
        <v>0</v>
      </c>
      <c r="BK273" s="137">
        <v>0</v>
      </c>
      <c r="BL273" s="137">
        <f t="shared" ca="1" si="85"/>
        <v>1</v>
      </c>
      <c r="BM273" s="137">
        <f t="shared" ca="1" si="110"/>
        <v>1</v>
      </c>
      <c r="BN273" s="137">
        <f ca="1">(A273&gt;=N_LFP_Startdatum)*IF('  B  '!F$110=1,NOT(OR(A273&gt;S$221,A273&gt;S$231,A273&gt;S$241)),IF(BB273&gt;BC273,0,1))</f>
        <v>1</v>
      </c>
      <c r="BO273" s="137">
        <f t="shared" ca="1" si="86"/>
        <v>1</v>
      </c>
      <c r="BP273" s="137">
        <v>0</v>
      </c>
      <c r="BQ273" s="137">
        <f t="shared" ca="1" si="87"/>
        <v>1</v>
      </c>
      <c r="BR273" s="653">
        <v>0</v>
      </c>
      <c r="BS273" s="224">
        <f ca="1">(A273&gt;=N_LFP_Startdatum)*IF('  B  '!F$110=1,NOT(OR(A273&gt;S$221,A273&gt;S$231,A273&gt;S$241)),IF(BB273&gt;BC273,0,1))</f>
        <v>1</v>
      </c>
      <c r="BU273" s="254">
        <f t="shared" ca="1" si="8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89"/>
        <v>0</v>
      </c>
      <c r="CA273" s="156">
        <f t="shared" ca="1" si="111"/>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12"/>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90"/>
        <v>0</v>
      </c>
      <c r="CL273" s="270">
        <f t="shared" ca="1" si="91"/>
        <v>0</v>
      </c>
      <c r="CM273" s="265">
        <f t="shared" ca="1" si="92"/>
        <v>0</v>
      </c>
      <c r="CO273" s="222"/>
      <c r="CP273" s="137">
        <v>0</v>
      </c>
      <c r="CQ273" s="137">
        <v>0</v>
      </c>
      <c r="CR273" s="137">
        <v>0</v>
      </c>
      <c r="CS273" s="137">
        <f t="shared" ca="1" si="93"/>
        <v>0</v>
      </c>
      <c r="CT273" s="137">
        <f t="shared" ca="1" si="94"/>
        <v>0</v>
      </c>
      <c r="CU273" s="137">
        <f t="shared" ca="1" si="95"/>
        <v>0</v>
      </c>
      <c r="CV273" s="137">
        <v>0</v>
      </c>
      <c r="CW273" s="137">
        <f t="shared" ca="1" si="96"/>
        <v>0</v>
      </c>
      <c r="CX273" s="137">
        <v>0</v>
      </c>
      <c r="CY273" s="224">
        <f t="shared" ca="1" si="97"/>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98"/>
        <v>0</v>
      </c>
      <c r="DF273" s="279">
        <f t="shared" ca="1" si="99"/>
        <v>0</v>
      </c>
      <c r="DG273" s="280">
        <f t="shared" ca="1" si="100"/>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3"/>
        <v>0</v>
      </c>
      <c r="DN273" s="279">
        <f t="shared" ca="1" si="114"/>
        <v>0</v>
      </c>
      <c r="DO273" s="279">
        <f t="shared" ca="1" si="115"/>
        <v>0</v>
      </c>
    </row>
    <row r="274" spans="1:119" x14ac:dyDescent="0.25">
      <c r="A274" s="153">
        <f t="shared" si="116"/>
        <v>45302</v>
      </c>
      <c r="B274" s="154"/>
      <c r="C274" s="154"/>
      <c r="D274" s="154"/>
      <c r="E274" s="875" t="str">
        <f t="shared" ca="1" si="56"/>
        <v/>
      </c>
      <c r="F274" s="876"/>
      <c r="G274" s="667">
        <f t="shared" ca="1" si="101"/>
        <v>0</v>
      </c>
      <c r="H274" s="667">
        <f t="shared" ca="1" si="57"/>
        <v>0</v>
      </c>
      <c r="I274" s="667">
        <f t="shared" ca="1" si="58"/>
        <v>0</v>
      </c>
      <c r="P274" s="151">
        <f t="shared" si="59"/>
        <v>125</v>
      </c>
      <c r="R274" s="55">
        <f t="shared" si="60"/>
        <v>0</v>
      </c>
      <c r="S274" s="55">
        <f t="shared" si="102"/>
        <v>1</v>
      </c>
      <c r="U274" s="226">
        <f t="shared" si="61"/>
        <v>0</v>
      </c>
      <c r="V274" s="137">
        <f t="shared" ca="1" si="62"/>
        <v>0</v>
      </c>
      <c r="W274" s="137">
        <f t="shared" si="63"/>
        <v>0</v>
      </c>
      <c r="X274" s="137">
        <f t="shared" si="64"/>
        <v>0</v>
      </c>
      <c r="Y274" s="137">
        <f t="shared" ca="1" si="65"/>
        <v>0</v>
      </c>
      <c r="Z274" s="137">
        <f t="shared" ca="1" si="66"/>
        <v>0</v>
      </c>
      <c r="AA274" s="137">
        <f t="shared" ca="1" si="67"/>
        <v>0</v>
      </c>
      <c r="AB274" s="137">
        <f t="shared" ca="1" si="68"/>
        <v>0</v>
      </c>
      <c r="AC274" s="137">
        <f t="shared" ca="1" si="69"/>
        <v>0</v>
      </c>
      <c r="AD274" s="137">
        <f t="shared" ca="1" si="70"/>
        <v>0</v>
      </c>
      <c r="AE274" s="223">
        <f t="shared" ca="1" si="71"/>
        <v>0</v>
      </c>
      <c r="AF274" s="229" t="str">
        <f t="shared" ca="1" si="72"/>
        <v/>
      </c>
      <c r="AH274" s="235">
        <f t="shared" si="73"/>
        <v>45302</v>
      </c>
      <c r="AI274" s="137">
        <f t="shared" ca="1" si="74"/>
        <v>0</v>
      </c>
      <c r="AJ274" s="137">
        <f t="shared" si="75"/>
        <v>0</v>
      </c>
      <c r="AK274" s="137">
        <f t="shared" ca="1" si="103"/>
        <v>0</v>
      </c>
      <c r="AL274" s="137">
        <f t="shared" ca="1" si="104"/>
        <v>0</v>
      </c>
      <c r="AM274" s="137">
        <f t="shared" si="76"/>
        <v>0</v>
      </c>
      <c r="AN274" s="137">
        <f t="shared" ca="1" si="77"/>
        <v>0</v>
      </c>
      <c r="AO274" s="137">
        <f t="shared" ca="1" si="78"/>
        <v>0</v>
      </c>
      <c r="AP274" s="137">
        <f t="shared" ca="1" si="105"/>
        <v>0</v>
      </c>
      <c r="AQ274" s="137">
        <f t="shared" si="79"/>
        <v>0</v>
      </c>
      <c r="AR274" s="236">
        <f t="shared" ca="1" si="80"/>
        <v>0</v>
      </c>
      <c r="AT274" s="241">
        <f t="shared" ca="1" si="81"/>
        <v>28</v>
      </c>
      <c r="AV274" s="222">
        <f t="shared" ca="1" si="106"/>
        <v>0</v>
      </c>
      <c r="AW274" s="247">
        <f t="shared" si="82"/>
        <v>92</v>
      </c>
      <c r="AY274" s="239">
        <f ca="1">(AE274=5)*('  B  '!F$110=1)*OR(AND(AND(A274&gt;=S$220,A274&gt;=I$214),AND(A274&lt;=S$221,A274&lt;=I$215)),AND(AND(A274&gt;=S$230,A274&gt;=I$224),AND(A274&lt;=S$231,A274&lt;=I$225)),AND(AND(A274&gt;=S$240,A274&gt;=I$234),AND(A274&lt;=S$241,A274&lt;=I$235)))</f>
        <v>0</v>
      </c>
      <c r="BA274" s="222">
        <f t="shared" ca="1" si="107"/>
        <v>0</v>
      </c>
      <c r="BB274" s="55">
        <f t="shared" ca="1" si="83"/>
        <v>0</v>
      </c>
      <c r="BC274" s="247">
        <f t="shared" si="84"/>
        <v>182</v>
      </c>
      <c r="BE274" s="239">
        <f t="shared" ca="1" si="108"/>
        <v>0</v>
      </c>
      <c r="BG274" s="239">
        <f t="shared" ca="1" si="109"/>
        <v>0</v>
      </c>
      <c r="BI274" s="222"/>
      <c r="BJ274" s="137">
        <v>0</v>
      </c>
      <c r="BK274" s="137">
        <v>0</v>
      </c>
      <c r="BL274" s="137">
        <f t="shared" ca="1" si="85"/>
        <v>1</v>
      </c>
      <c r="BM274" s="137">
        <f t="shared" ca="1" si="110"/>
        <v>1</v>
      </c>
      <c r="BN274" s="137">
        <f ca="1">(A274&gt;=N_LFP_Startdatum)*IF('  B  '!F$110=1,NOT(OR(A274&gt;S$221,A274&gt;S$231,A274&gt;S$241)),IF(BB274&gt;BC274,0,1))</f>
        <v>1</v>
      </c>
      <c r="BO274" s="137">
        <f t="shared" ca="1" si="86"/>
        <v>1</v>
      </c>
      <c r="BP274" s="137">
        <v>0</v>
      </c>
      <c r="BQ274" s="137">
        <f t="shared" ca="1" si="87"/>
        <v>1</v>
      </c>
      <c r="BR274" s="653">
        <v>0</v>
      </c>
      <c r="BS274" s="224">
        <f ca="1">(A274&gt;=N_LFP_Startdatum)*IF('  B  '!F$110=1,NOT(OR(A274&gt;S$221,A274&gt;S$231,A274&gt;S$241)),IF(BB274&gt;BC274,0,1))</f>
        <v>1</v>
      </c>
      <c r="BU274" s="254">
        <f t="shared" ca="1" si="8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89"/>
        <v>0</v>
      </c>
      <c r="CA274" s="156">
        <f t="shared" ca="1" si="111"/>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12"/>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90"/>
        <v>0</v>
      </c>
      <c r="CL274" s="270">
        <f t="shared" ca="1" si="91"/>
        <v>0</v>
      </c>
      <c r="CM274" s="265">
        <f t="shared" ca="1" si="92"/>
        <v>0</v>
      </c>
      <c r="CO274" s="222"/>
      <c r="CP274" s="137">
        <v>0</v>
      </c>
      <c r="CQ274" s="137">
        <v>0</v>
      </c>
      <c r="CR274" s="137">
        <v>0</v>
      </c>
      <c r="CS274" s="137">
        <f t="shared" ca="1" si="93"/>
        <v>0</v>
      </c>
      <c r="CT274" s="137">
        <f t="shared" ca="1" si="94"/>
        <v>0</v>
      </c>
      <c r="CU274" s="137">
        <f t="shared" ca="1" si="95"/>
        <v>0</v>
      </c>
      <c r="CV274" s="137">
        <v>0</v>
      </c>
      <c r="CW274" s="137">
        <f t="shared" ca="1" si="96"/>
        <v>0</v>
      </c>
      <c r="CX274" s="137">
        <v>0</v>
      </c>
      <c r="CY274" s="224">
        <f t="shared" ca="1" si="97"/>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98"/>
        <v>0</v>
      </c>
      <c r="DF274" s="279">
        <f t="shared" ca="1" si="99"/>
        <v>0</v>
      </c>
      <c r="DG274" s="280">
        <f t="shared" ca="1" si="100"/>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3"/>
        <v>0</v>
      </c>
      <c r="DN274" s="279">
        <f t="shared" ca="1" si="114"/>
        <v>0</v>
      </c>
      <c r="DO274" s="279">
        <f t="shared" ca="1" si="115"/>
        <v>0</v>
      </c>
    </row>
    <row r="275" spans="1:119" x14ac:dyDescent="0.25">
      <c r="A275" s="153">
        <f t="shared" si="116"/>
        <v>45303</v>
      </c>
      <c r="B275" s="154"/>
      <c r="C275" s="154"/>
      <c r="D275" s="154"/>
      <c r="E275" s="875" t="str">
        <f t="shared" ca="1" si="56"/>
        <v/>
      </c>
      <c r="F275" s="876"/>
      <c r="G275" s="667">
        <f t="shared" ca="1" si="101"/>
        <v>0</v>
      </c>
      <c r="H275" s="667">
        <f t="shared" ca="1" si="57"/>
        <v>0</v>
      </c>
      <c r="I275" s="667">
        <f t="shared" ca="1" si="58"/>
        <v>0</v>
      </c>
      <c r="P275" s="151">
        <f t="shared" si="59"/>
        <v>125</v>
      </c>
      <c r="R275" s="55">
        <f t="shared" si="60"/>
        <v>0</v>
      </c>
      <c r="S275" s="55">
        <f t="shared" si="102"/>
        <v>1</v>
      </c>
      <c r="U275" s="226">
        <f t="shared" si="61"/>
        <v>0</v>
      </c>
      <c r="V275" s="137">
        <f t="shared" ca="1" si="62"/>
        <v>0</v>
      </c>
      <c r="W275" s="137">
        <f t="shared" si="63"/>
        <v>0</v>
      </c>
      <c r="X275" s="137">
        <f t="shared" si="64"/>
        <v>0</v>
      </c>
      <c r="Y275" s="137">
        <f t="shared" ca="1" si="65"/>
        <v>0</v>
      </c>
      <c r="Z275" s="137">
        <f t="shared" ca="1" si="66"/>
        <v>0</v>
      </c>
      <c r="AA275" s="137">
        <f t="shared" ca="1" si="67"/>
        <v>0</v>
      </c>
      <c r="AB275" s="137">
        <f t="shared" ca="1" si="68"/>
        <v>0</v>
      </c>
      <c r="AC275" s="137">
        <f t="shared" ca="1" si="69"/>
        <v>0</v>
      </c>
      <c r="AD275" s="137">
        <f t="shared" ca="1" si="70"/>
        <v>0</v>
      </c>
      <c r="AE275" s="223">
        <f t="shared" ca="1" si="71"/>
        <v>0</v>
      </c>
      <c r="AF275" s="229" t="str">
        <f t="shared" ca="1" si="72"/>
        <v/>
      </c>
      <c r="AH275" s="235">
        <f t="shared" si="73"/>
        <v>45303</v>
      </c>
      <c r="AI275" s="137">
        <f t="shared" ca="1" si="74"/>
        <v>0</v>
      </c>
      <c r="AJ275" s="137">
        <f t="shared" si="75"/>
        <v>0</v>
      </c>
      <c r="AK275" s="137">
        <f t="shared" ca="1" si="103"/>
        <v>0</v>
      </c>
      <c r="AL275" s="137">
        <f t="shared" ca="1" si="104"/>
        <v>0</v>
      </c>
      <c r="AM275" s="137">
        <f t="shared" si="76"/>
        <v>0</v>
      </c>
      <c r="AN275" s="137">
        <f t="shared" ca="1" si="77"/>
        <v>0</v>
      </c>
      <c r="AO275" s="137">
        <f t="shared" ca="1" si="78"/>
        <v>0</v>
      </c>
      <c r="AP275" s="137">
        <f t="shared" ca="1" si="105"/>
        <v>0</v>
      </c>
      <c r="AQ275" s="137">
        <f t="shared" si="79"/>
        <v>0</v>
      </c>
      <c r="AR275" s="236">
        <f t="shared" ca="1" si="80"/>
        <v>0</v>
      </c>
      <c r="AT275" s="241">
        <f t="shared" ca="1" si="81"/>
        <v>28</v>
      </c>
      <c r="AV275" s="222">
        <f t="shared" ca="1" si="106"/>
        <v>0</v>
      </c>
      <c r="AW275" s="247">
        <f t="shared" si="82"/>
        <v>92</v>
      </c>
      <c r="AY275" s="239">
        <f ca="1">(AE275=5)*('  B  '!F$110=1)*OR(AND(AND(A275&gt;=S$220,A275&gt;=I$214),AND(A275&lt;=S$221,A275&lt;=I$215)),AND(AND(A275&gt;=S$230,A275&gt;=I$224),AND(A275&lt;=S$231,A275&lt;=I$225)),AND(AND(A275&gt;=S$240,A275&gt;=I$234),AND(A275&lt;=S$241,A275&lt;=I$235)))</f>
        <v>0</v>
      </c>
      <c r="BA275" s="222">
        <f t="shared" ca="1" si="107"/>
        <v>0</v>
      </c>
      <c r="BB275" s="55">
        <f t="shared" ca="1" si="83"/>
        <v>0</v>
      </c>
      <c r="BC275" s="247">
        <f t="shared" si="84"/>
        <v>182</v>
      </c>
      <c r="BE275" s="239">
        <f t="shared" ca="1" si="108"/>
        <v>0</v>
      </c>
      <c r="BG275" s="239">
        <f t="shared" ca="1" si="109"/>
        <v>0</v>
      </c>
      <c r="BI275" s="222"/>
      <c r="BJ275" s="137">
        <v>0</v>
      </c>
      <c r="BK275" s="137">
        <v>0</v>
      </c>
      <c r="BL275" s="137">
        <f t="shared" ca="1" si="85"/>
        <v>1</v>
      </c>
      <c r="BM275" s="137">
        <f t="shared" ca="1" si="110"/>
        <v>1</v>
      </c>
      <c r="BN275" s="137">
        <f ca="1">(A275&gt;=N_LFP_Startdatum)*IF('  B  '!F$110=1,NOT(OR(A275&gt;S$221,A275&gt;S$231,A275&gt;S$241)),IF(BB275&gt;BC275,0,1))</f>
        <v>1</v>
      </c>
      <c r="BO275" s="137">
        <f t="shared" ca="1" si="86"/>
        <v>1</v>
      </c>
      <c r="BP275" s="137">
        <v>0</v>
      </c>
      <c r="BQ275" s="137">
        <f t="shared" ca="1" si="87"/>
        <v>1</v>
      </c>
      <c r="BR275" s="653">
        <v>0</v>
      </c>
      <c r="BS275" s="224">
        <f ca="1">(A275&gt;=N_LFP_Startdatum)*IF('  B  '!F$110=1,NOT(OR(A275&gt;S$221,A275&gt;S$231,A275&gt;S$241)),IF(BB275&gt;BC275,0,1))</f>
        <v>1</v>
      </c>
      <c r="BU275" s="254">
        <f t="shared" ca="1" si="8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89"/>
        <v>0</v>
      </c>
      <c r="CA275" s="156">
        <f t="shared" ca="1" si="111"/>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12"/>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90"/>
        <v>0</v>
      </c>
      <c r="CL275" s="270">
        <f t="shared" ca="1" si="91"/>
        <v>0</v>
      </c>
      <c r="CM275" s="265">
        <f t="shared" ca="1" si="92"/>
        <v>0</v>
      </c>
      <c r="CO275" s="222"/>
      <c r="CP275" s="137">
        <v>0</v>
      </c>
      <c r="CQ275" s="137">
        <v>0</v>
      </c>
      <c r="CR275" s="137">
        <v>0</v>
      </c>
      <c r="CS275" s="137">
        <f t="shared" ca="1" si="93"/>
        <v>0</v>
      </c>
      <c r="CT275" s="137">
        <f t="shared" ca="1" si="94"/>
        <v>0</v>
      </c>
      <c r="CU275" s="137">
        <f t="shared" ca="1" si="95"/>
        <v>0</v>
      </c>
      <c r="CV275" s="137">
        <v>0</v>
      </c>
      <c r="CW275" s="137">
        <f t="shared" ca="1" si="96"/>
        <v>0</v>
      </c>
      <c r="CX275" s="137">
        <v>0</v>
      </c>
      <c r="CY275" s="224">
        <f t="shared" ca="1" si="97"/>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98"/>
        <v>0</v>
      </c>
      <c r="DF275" s="279">
        <f t="shared" ca="1" si="99"/>
        <v>0</v>
      </c>
      <c r="DG275" s="280">
        <f t="shared" ca="1" si="100"/>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3"/>
        <v>0</v>
      </c>
      <c r="DN275" s="279">
        <f t="shared" ca="1" si="114"/>
        <v>0</v>
      </c>
      <c r="DO275" s="279">
        <f t="shared" ca="1" si="115"/>
        <v>0</v>
      </c>
    </row>
    <row r="276" spans="1:119" x14ac:dyDescent="0.25">
      <c r="A276" s="153">
        <f t="shared" si="116"/>
        <v>45304</v>
      </c>
      <c r="B276" s="154"/>
      <c r="C276" s="154"/>
      <c r="D276" s="154"/>
      <c r="E276" s="875" t="str">
        <f t="shared" ca="1" si="56"/>
        <v/>
      </c>
      <c r="F276" s="876"/>
      <c r="G276" s="667">
        <f t="shared" ca="1" si="101"/>
        <v>0</v>
      </c>
      <c r="H276" s="667">
        <f t="shared" ca="1" si="57"/>
        <v>0</v>
      </c>
      <c r="I276" s="667">
        <f t="shared" ca="1" si="58"/>
        <v>0</v>
      </c>
      <c r="P276" s="151">
        <f t="shared" si="59"/>
        <v>125</v>
      </c>
      <c r="R276" s="55">
        <f t="shared" si="60"/>
        <v>0</v>
      </c>
      <c r="S276" s="55">
        <f t="shared" si="102"/>
        <v>1</v>
      </c>
      <c r="U276" s="226">
        <f t="shared" si="61"/>
        <v>0</v>
      </c>
      <c r="V276" s="137">
        <f t="shared" ca="1" si="62"/>
        <v>0</v>
      </c>
      <c r="W276" s="137">
        <f t="shared" si="63"/>
        <v>0</v>
      </c>
      <c r="X276" s="137">
        <f t="shared" si="64"/>
        <v>0</v>
      </c>
      <c r="Y276" s="137">
        <f t="shared" ca="1" si="65"/>
        <v>0</v>
      </c>
      <c r="Z276" s="137">
        <f t="shared" ca="1" si="66"/>
        <v>0</v>
      </c>
      <c r="AA276" s="137">
        <f t="shared" ca="1" si="67"/>
        <v>0</v>
      </c>
      <c r="AB276" s="137">
        <f t="shared" ca="1" si="68"/>
        <v>0</v>
      </c>
      <c r="AC276" s="137">
        <f t="shared" ca="1" si="69"/>
        <v>0</v>
      </c>
      <c r="AD276" s="137">
        <f t="shared" ca="1" si="70"/>
        <v>0</v>
      </c>
      <c r="AE276" s="223">
        <f t="shared" ca="1" si="71"/>
        <v>0</v>
      </c>
      <c r="AF276" s="229" t="str">
        <f t="shared" ca="1" si="72"/>
        <v/>
      </c>
      <c r="AH276" s="235">
        <f t="shared" si="73"/>
        <v>45304</v>
      </c>
      <c r="AI276" s="137">
        <f t="shared" ca="1" si="74"/>
        <v>0</v>
      </c>
      <c r="AJ276" s="137">
        <f t="shared" si="75"/>
        <v>0</v>
      </c>
      <c r="AK276" s="137">
        <f t="shared" ca="1" si="103"/>
        <v>0</v>
      </c>
      <c r="AL276" s="137">
        <f t="shared" ca="1" si="104"/>
        <v>0</v>
      </c>
      <c r="AM276" s="137">
        <f t="shared" si="76"/>
        <v>0</v>
      </c>
      <c r="AN276" s="137">
        <f t="shared" ca="1" si="77"/>
        <v>0</v>
      </c>
      <c r="AO276" s="137">
        <f t="shared" ca="1" si="78"/>
        <v>0</v>
      </c>
      <c r="AP276" s="137">
        <f t="shared" ca="1" si="105"/>
        <v>0</v>
      </c>
      <c r="AQ276" s="137">
        <f t="shared" si="79"/>
        <v>0</v>
      </c>
      <c r="AR276" s="236">
        <f t="shared" ca="1" si="80"/>
        <v>0</v>
      </c>
      <c r="AT276" s="241">
        <f t="shared" ca="1" si="81"/>
        <v>28</v>
      </c>
      <c r="AV276" s="222">
        <f t="shared" ca="1" si="106"/>
        <v>0</v>
      </c>
      <c r="AW276" s="247">
        <f t="shared" si="82"/>
        <v>92</v>
      </c>
      <c r="AY276" s="239">
        <f ca="1">(AE276=5)*('  B  '!F$110=1)*OR(AND(AND(A276&gt;=S$220,A276&gt;=I$214),AND(A276&lt;=S$221,A276&lt;=I$215)),AND(AND(A276&gt;=S$230,A276&gt;=I$224),AND(A276&lt;=S$231,A276&lt;=I$225)),AND(AND(A276&gt;=S$240,A276&gt;=I$234),AND(A276&lt;=S$241,A276&lt;=I$235)))</f>
        <v>0</v>
      </c>
      <c r="BA276" s="222">
        <f t="shared" ca="1" si="107"/>
        <v>0</v>
      </c>
      <c r="BB276" s="55">
        <f t="shared" ca="1" si="83"/>
        <v>0</v>
      </c>
      <c r="BC276" s="247">
        <f t="shared" si="84"/>
        <v>182</v>
      </c>
      <c r="BE276" s="239">
        <f t="shared" ca="1" si="108"/>
        <v>0</v>
      </c>
      <c r="BG276" s="239">
        <f t="shared" ca="1" si="109"/>
        <v>0</v>
      </c>
      <c r="BI276" s="222"/>
      <c r="BJ276" s="137">
        <v>0</v>
      </c>
      <c r="BK276" s="137">
        <v>0</v>
      </c>
      <c r="BL276" s="137">
        <f t="shared" ca="1" si="85"/>
        <v>1</v>
      </c>
      <c r="BM276" s="137">
        <f t="shared" ca="1" si="110"/>
        <v>1</v>
      </c>
      <c r="BN276" s="137">
        <f ca="1">(A276&gt;=N_LFP_Startdatum)*IF('  B  '!F$110=1,NOT(OR(A276&gt;S$221,A276&gt;S$231,A276&gt;S$241)),IF(BB276&gt;BC276,0,1))</f>
        <v>1</v>
      </c>
      <c r="BO276" s="137">
        <f t="shared" ca="1" si="86"/>
        <v>1</v>
      </c>
      <c r="BP276" s="137">
        <v>0</v>
      </c>
      <c r="BQ276" s="137">
        <f t="shared" ca="1" si="87"/>
        <v>1</v>
      </c>
      <c r="BR276" s="653">
        <v>0</v>
      </c>
      <c r="BS276" s="224">
        <f ca="1">(A276&gt;=N_LFP_Startdatum)*IF('  B  '!F$110=1,NOT(OR(A276&gt;S$221,A276&gt;S$231,A276&gt;S$241)),IF(BB276&gt;BC276,0,1))</f>
        <v>1</v>
      </c>
      <c r="BU276" s="254">
        <f t="shared" ca="1" si="8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89"/>
        <v>0</v>
      </c>
      <c r="CA276" s="156">
        <f t="shared" ca="1" si="111"/>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12"/>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90"/>
        <v>0</v>
      </c>
      <c r="CL276" s="270">
        <f t="shared" ca="1" si="91"/>
        <v>0</v>
      </c>
      <c r="CM276" s="265">
        <f t="shared" ca="1" si="92"/>
        <v>0</v>
      </c>
      <c r="CO276" s="222"/>
      <c r="CP276" s="137">
        <v>0</v>
      </c>
      <c r="CQ276" s="137">
        <v>0</v>
      </c>
      <c r="CR276" s="137">
        <v>0</v>
      </c>
      <c r="CS276" s="137">
        <f t="shared" ca="1" si="93"/>
        <v>0</v>
      </c>
      <c r="CT276" s="137">
        <f t="shared" ca="1" si="94"/>
        <v>0</v>
      </c>
      <c r="CU276" s="137">
        <f t="shared" ca="1" si="95"/>
        <v>0</v>
      </c>
      <c r="CV276" s="137">
        <v>0</v>
      </c>
      <c r="CW276" s="137">
        <f t="shared" ca="1" si="96"/>
        <v>0</v>
      </c>
      <c r="CX276" s="137">
        <v>0</v>
      </c>
      <c r="CY276" s="224">
        <f t="shared" ca="1" si="97"/>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98"/>
        <v>0</v>
      </c>
      <c r="DF276" s="279">
        <f t="shared" ca="1" si="99"/>
        <v>0</v>
      </c>
      <c r="DG276" s="280">
        <f t="shared" ca="1" si="100"/>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3"/>
        <v>0</v>
      </c>
      <c r="DN276" s="279">
        <f t="shared" ca="1" si="114"/>
        <v>0</v>
      </c>
      <c r="DO276" s="279">
        <f t="shared" ca="1" si="115"/>
        <v>0</v>
      </c>
    </row>
    <row r="277" spans="1:119" x14ac:dyDescent="0.25">
      <c r="A277" s="153">
        <f t="shared" si="116"/>
        <v>45305</v>
      </c>
      <c r="B277" s="154"/>
      <c r="C277" s="154"/>
      <c r="D277" s="154"/>
      <c r="E277" s="875" t="str">
        <f t="shared" ca="1" si="56"/>
        <v/>
      </c>
      <c r="F277" s="876"/>
      <c r="G277" s="667">
        <f t="shared" ca="1" si="101"/>
        <v>0</v>
      </c>
      <c r="H277" s="667">
        <f t="shared" ca="1" si="57"/>
        <v>0</v>
      </c>
      <c r="I277" s="667">
        <f t="shared" ca="1" si="58"/>
        <v>0</v>
      </c>
      <c r="P277" s="151">
        <f t="shared" si="59"/>
        <v>125</v>
      </c>
      <c r="R277" s="55">
        <f t="shared" si="60"/>
        <v>0</v>
      </c>
      <c r="S277" s="55">
        <f t="shared" si="102"/>
        <v>1</v>
      </c>
      <c r="U277" s="226">
        <f t="shared" si="61"/>
        <v>0</v>
      </c>
      <c r="V277" s="137">
        <f t="shared" ca="1" si="62"/>
        <v>0</v>
      </c>
      <c r="W277" s="137">
        <f t="shared" si="63"/>
        <v>0</v>
      </c>
      <c r="X277" s="137">
        <f t="shared" si="64"/>
        <v>0</v>
      </c>
      <c r="Y277" s="137">
        <f t="shared" ca="1" si="65"/>
        <v>0</v>
      </c>
      <c r="Z277" s="137">
        <f t="shared" ca="1" si="66"/>
        <v>0</v>
      </c>
      <c r="AA277" s="137">
        <f t="shared" ca="1" si="67"/>
        <v>0</v>
      </c>
      <c r="AB277" s="137">
        <f t="shared" ca="1" si="68"/>
        <v>0</v>
      </c>
      <c r="AC277" s="137">
        <f t="shared" ca="1" si="69"/>
        <v>0</v>
      </c>
      <c r="AD277" s="137">
        <f t="shared" ca="1" si="70"/>
        <v>0</v>
      </c>
      <c r="AE277" s="223">
        <f t="shared" ca="1" si="71"/>
        <v>0</v>
      </c>
      <c r="AF277" s="229" t="str">
        <f t="shared" ca="1" si="72"/>
        <v/>
      </c>
      <c r="AH277" s="235">
        <f t="shared" si="73"/>
        <v>45305</v>
      </c>
      <c r="AI277" s="137">
        <f t="shared" ca="1" si="74"/>
        <v>0</v>
      </c>
      <c r="AJ277" s="137">
        <f t="shared" si="75"/>
        <v>0</v>
      </c>
      <c r="AK277" s="137">
        <f t="shared" ca="1" si="103"/>
        <v>0</v>
      </c>
      <c r="AL277" s="137">
        <f t="shared" ca="1" si="104"/>
        <v>0</v>
      </c>
      <c r="AM277" s="137">
        <f t="shared" si="76"/>
        <v>0</v>
      </c>
      <c r="AN277" s="137">
        <f t="shared" ca="1" si="77"/>
        <v>0</v>
      </c>
      <c r="AO277" s="137">
        <f t="shared" ca="1" si="78"/>
        <v>0</v>
      </c>
      <c r="AP277" s="137">
        <f t="shared" ca="1" si="105"/>
        <v>0</v>
      </c>
      <c r="AQ277" s="137">
        <f t="shared" si="79"/>
        <v>0</v>
      </c>
      <c r="AR277" s="236">
        <f t="shared" ca="1" si="80"/>
        <v>0</v>
      </c>
      <c r="AT277" s="241">
        <f t="shared" ca="1" si="81"/>
        <v>28</v>
      </c>
      <c r="AV277" s="222">
        <f t="shared" ca="1" si="106"/>
        <v>0</v>
      </c>
      <c r="AW277" s="247">
        <f t="shared" si="82"/>
        <v>92</v>
      </c>
      <c r="AY277" s="239">
        <f ca="1">(AE277=5)*('  B  '!F$110=1)*OR(AND(AND(A277&gt;=S$220,A277&gt;=I$214),AND(A277&lt;=S$221,A277&lt;=I$215)),AND(AND(A277&gt;=S$230,A277&gt;=I$224),AND(A277&lt;=S$231,A277&lt;=I$225)),AND(AND(A277&gt;=S$240,A277&gt;=I$234),AND(A277&lt;=S$241,A277&lt;=I$235)))</f>
        <v>0</v>
      </c>
      <c r="BA277" s="222">
        <f t="shared" ca="1" si="107"/>
        <v>0</v>
      </c>
      <c r="BB277" s="55">
        <f t="shared" ca="1" si="83"/>
        <v>0</v>
      </c>
      <c r="BC277" s="247">
        <f t="shared" si="84"/>
        <v>182</v>
      </c>
      <c r="BE277" s="239">
        <f t="shared" ca="1" si="108"/>
        <v>0</v>
      </c>
      <c r="BG277" s="239">
        <f t="shared" ca="1" si="109"/>
        <v>0</v>
      </c>
      <c r="BI277" s="222"/>
      <c r="BJ277" s="137">
        <v>0</v>
      </c>
      <c r="BK277" s="137">
        <v>0</v>
      </c>
      <c r="BL277" s="137">
        <f t="shared" ca="1" si="85"/>
        <v>1</v>
      </c>
      <c r="BM277" s="137">
        <f t="shared" ca="1" si="110"/>
        <v>1</v>
      </c>
      <c r="BN277" s="137">
        <f ca="1">(A277&gt;=N_LFP_Startdatum)*IF('  B  '!F$110=1,NOT(OR(A277&gt;S$221,A277&gt;S$231,A277&gt;S$241)),IF(BB277&gt;BC277,0,1))</f>
        <v>1</v>
      </c>
      <c r="BO277" s="137">
        <f t="shared" ca="1" si="86"/>
        <v>1</v>
      </c>
      <c r="BP277" s="137">
        <v>0</v>
      </c>
      <c r="BQ277" s="137">
        <f t="shared" ca="1" si="87"/>
        <v>1</v>
      </c>
      <c r="BR277" s="653">
        <v>0</v>
      </c>
      <c r="BS277" s="224">
        <f ca="1">(A277&gt;=N_LFP_Startdatum)*IF('  B  '!F$110=1,NOT(OR(A277&gt;S$221,A277&gt;S$231,A277&gt;S$241)),IF(BB277&gt;BC277,0,1))</f>
        <v>1</v>
      </c>
      <c r="BU277" s="254">
        <f t="shared" ca="1" si="8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89"/>
        <v>0</v>
      </c>
      <c r="CA277" s="156">
        <f t="shared" ca="1" si="111"/>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12"/>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90"/>
        <v>0</v>
      </c>
      <c r="CL277" s="270">
        <f t="shared" ca="1" si="91"/>
        <v>0</v>
      </c>
      <c r="CM277" s="265">
        <f t="shared" ca="1" si="92"/>
        <v>0</v>
      </c>
      <c r="CO277" s="222"/>
      <c r="CP277" s="137">
        <v>0</v>
      </c>
      <c r="CQ277" s="137">
        <v>0</v>
      </c>
      <c r="CR277" s="137">
        <v>0</v>
      </c>
      <c r="CS277" s="137">
        <f t="shared" ca="1" si="93"/>
        <v>0</v>
      </c>
      <c r="CT277" s="137">
        <f t="shared" ca="1" si="94"/>
        <v>0</v>
      </c>
      <c r="CU277" s="137">
        <f t="shared" ca="1" si="95"/>
        <v>0</v>
      </c>
      <c r="CV277" s="137">
        <v>0</v>
      </c>
      <c r="CW277" s="137">
        <f t="shared" ca="1" si="96"/>
        <v>0</v>
      </c>
      <c r="CX277" s="137">
        <v>0</v>
      </c>
      <c r="CY277" s="224">
        <f t="shared" ca="1" si="97"/>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98"/>
        <v>0</v>
      </c>
      <c r="DF277" s="279">
        <f t="shared" ca="1" si="99"/>
        <v>0</v>
      </c>
      <c r="DG277" s="280">
        <f t="shared" ca="1" si="100"/>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3"/>
        <v>0</v>
      </c>
      <c r="DN277" s="279">
        <f t="shared" ca="1" si="114"/>
        <v>0</v>
      </c>
      <c r="DO277" s="279">
        <f t="shared" ca="1" si="115"/>
        <v>0</v>
      </c>
    </row>
    <row r="278" spans="1:119" x14ac:dyDescent="0.25">
      <c r="A278" s="153">
        <f t="shared" si="116"/>
        <v>45306</v>
      </c>
      <c r="B278" s="154"/>
      <c r="C278" s="154"/>
      <c r="D278" s="154"/>
      <c r="E278" s="875" t="str">
        <f t="shared" ca="1" si="56"/>
        <v/>
      </c>
      <c r="F278" s="876"/>
      <c r="G278" s="667">
        <f t="shared" ca="1" si="101"/>
        <v>0</v>
      </c>
      <c r="H278" s="667">
        <f t="shared" ca="1" si="57"/>
        <v>0</v>
      </c>
      <c r="I278" s="667">
        <f t="shared" ca="1" si="58"/>
        <v>0</v>
      </c>
      <c r="P278" s="151">
        <f t="shared" si="59"/>
        <v>125</v>
      </c>
      <c r="R278" s="55">
        <f t="shared" si="60"/>
        <v>0</v>
      </c>
      <c r="S278" s="55">
        <f t="shared" si="102"/>
        <v>1</v>
      </c>
      <c r="U278" s="226">
        <f t="shared" si="61"/>
        <v>0</v>
      </c>
      <c r="V278" s="137">
        <f t="shared" ca="1" si="62"/>
        <v>0</v>
      </c>
      <c r="W278" s="137">
        <f t="shared" si="63"/>
        <v>0</v>
      </c>
      <c r="X278" s="137">
        <f t="shared" si="64"/>
        <v>0</v>
      </c>
      <c r="Y278" s="137">
        <f t="shared" ca="1" si="65"/>
        <v>0</v>
      </c>
      <c r="Z278" s="137">
        <f t="shared" ca="1" si="66"/>
        <v>0</v>
      </c>
      <c r="AA278" s="137">
        <f t="shared" ca="1" si="67"/>
        <v>0</v>
      </c>
      <c r="AB278" s="137">
        <f t="shared" ca="1" si="68"/>
        <v>0</v>
      </c>
      <c r="AC278" s="137">
        <f t="shared" ca="1" si="69"/>
        <v>0</v>
      </c>
      <c r="AD278" s="137">
        <f t="shared" ca="1" si="70"/>
        <v>0</v>
      </c>
      <c r="AE278" s="223">
        <f t="shared" ca="1" si="71"/>
        <v>0</v>
      </c>
      <c r="AF278" s="229" t="str">
        <f t="shared" ca="1" si="72"/>
        <v/>
      </c>
      <c r="AH278" s="235">
        <f t="shared" si="73"/>
        <v>45306</v>
      </c>
      <c r="AI278" s="137">
        <f t="shared" ca="1" si="74"/>
        <v>0</v>
      </c>
      <c r="AJ278" s="137">
        <f t="shared" si="75"/>
        <v>0</v>
      </c>
      <c r="AK278" s="137">
        <f t="shared" ca="1" si="103"/>
        <v>0</v>
      </c>
      <c r="AL278" s="137">
        <f t="shared" ca="1" si="104"/>
        <v>0</v>
      </c>
      <c r="AM278" s="137">
        <f t="shared" si="76"/>
        <v>0</v>
      </c>
      <c r="AN278" s="137">
        <f t="shared" ca="1" si="77"/>
        <v>0</v>
      </c>
      <c r="AO278" s="137">
        <f t="shared" ca="1" si="78"/>
        <v>0</v>
      </c>
      <c r="AP278" s="137">
        <f t="shared" ca="1" si="105"/>
        <v>0</v>
      </c>
      <c r="AQ278" s="137">
        <f t="shared" si="79"/>
        <v>0</v>
      </c>
      <c r="AR278" s="236">
        <f t="shared" ca="1" si="80"/>
        <v>0</v>
      </c>
      <c r="AT278" s="241">
        <f t="shared" ca="1" si="81"/>
        <v>28</v>
      </c>
      <c r="AV278" s="222">
        <f t="shared" ca="1" si="106"/>
        <v>0</v>
      </c>
      <c r="AW278" s="247">
        <f t="shared" si="82"/>
        <v>92</v>
      </c>
      <c r="AY278" s="239">
        <f ca="1">(AE278=5)*('  B  '!F$110=1)*OR(AND(AND(A278&gt;=S$220,A278&gt;=I$214),AND(A278&lt;=S$221,A278&lt;=I$215)),AND(AND(A278&gt;=S$230,A278&gt;=I$224),AND(A278&lt;=S$231,A278&lt;=I$225)),AND(AND(A278&gt;=S$240,A278&gt;=I$234),AND(A278&lt;=S$241,A278&lt;=I$235)))</f>
        <v>0</v>
      </c>
      <c r="BA278" s="222">
        <f t="shared" ca="1" si="107"/>
        <v>0</v>
      </c>
      <c r="BB278" s="55">
        <f t="shared" ca="1" si="83"/>
        <v>0</v>
      </c>
      <c r="BC278" s="247">
        <f t="shared" si="84"/>
        <v>182</v>
      </c>
      <c r="BE278" s="239">
        <f t="shared" ca="1" si="108"/>
        <v>0</v>
      </c>
      <c r="BG278" s="239">
        <f t="shared" ca="1" si="109"/>
        <v>0</v>
      </c>
      <c r="BI278" s="222"/>
      <c r="BJ278" s="137">
        <v>0</v>
      </c>
      <c r="BK278" s="137">
        <v>0</v>
      </c>
      <c r="BL278" s="137">
        <f t="shared" ca="1" si="85"/>
        <v>1</v>
      </c>
      <c r="BM278" s="137">
        <f t="shared" ca="1" si="110"/>
        <v>1</v>
      </c>
      <c r="BN278" s="137">
        <f ca="1">(A278&gt;=N_LFP_Startdatum)*IF('  B  '!F$110=1,NOT(OR(A278&gt;S$221,A278&gt;S$231,A278&gt;S$241)),IF(BB278&gt;BC278,0,1))</f>
        <v>1</v>
      </c>
      <c r="BO278" s="137">
        <f t="shared" ca="1" si="86"/>
        <v>1</v>
      </c>
      <c r="BP278" s="137">
        <v>0</v>
      </c>
      <c r="BQ278" s="137">
        <f t="shared" ca="1" si="87"/>
        <v>1</v>
      </c>
      <c r="BR278" s="653">
        <v>0</v>
      </c>
      <c r="BS278" s="224">
        <f ca="1">(A278&gt;=N_LFP_Startdatum)*IF('  B  '!F$110=1,NOT(OR(A278&gt;S$221,A278&gt;S$231,A278&gt;S$241)),IF(BB278&gt;BC278,0,1))</f>
        <v>1</v>
      </c>
      <c r="BU278" s="254">
        <f t="shared" ca="1" si="8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89"/>
        <v>0</v>
      </c>
      <c r="CA278" s="156">
        <f t="shared" ca="1" si="111"/>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12"/>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90"/>
        <v>0</v>
      </c>
      <c r="CL278" s="270">
        <f t="shared" ca="1" si="91"/>
        <v>0</v>
      </c>
      <c r="CM278" s="265">
        <f t="shared" ca="1" si="92"/>
        <v>0</v>
      </c>
      <c r="CO278" s="222"/>
      <c r="CP278" s="137">
        <v>0</v>
      </c>
      <c r="CQ278" s="137">
        <v>0</v>
      </c>
      <c r="CR278" s="137">
        <v>0</v>
      </c>
      <c r="CS278" s="137">
        <f t="shared" ca="1" si="93"/>
        <v>0</v>
      </c>
      <c r="CT278" s="137">
        <f t="shared" ca="1" si="94"/>
        <v>0</v>
      </c>
      <c r="CU278" s="137">
        <f t="shared" ca="1" si="95"/>
        <v>0</v>
      </c>
      <c r="CV278" s="137">
        <v>0</v>
      </c>
      <c r="CW278" s="137">
        <f t="shared" ca="1" si="96"/>
        <v>0</v>
      </c>
      <c r="CX278" s="137">
        <v>0</v>
      </c>
      <c r="CY278" s="224">
        <f t="shared" ca="1" si="97"/>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98"/>
        <v>0</v>
      </c>
      <c r="DF278" s="279">
        <f t="shared" ca="1" si="99"/>
        <v>0</v>
      </c>
      <c r="DG278" s="280">
        <f t="shared" ca="1" si="100"/>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3"/>
        <v>0</v>
      </c>
      <c r="DN278" s="279">
        <f t="shared" ca="1" si="114"/>
        <v>0</v>
      </c>
      <c r="DO278" s="279">
        <f t="shared" ca="1" si="115"/>
        <v>0</v>
      </c>
    </row>
    <row r="279" spans="1:119" x14ac:dyDescent="0.25">
      <c r="A279" s="153">
        <f t="shared" si="116"/>
        <v>45307</v>
      </c>
      <c r="B279" s="154"/>
      <c r="C279" s="154"/>
      <c r="D279" s="154"/>
      <c r="E279" s="875" t="str">
        <f t="shared" ca="1" si="56"/>
        <v/>
      </c>
      <c r="F279" s="876"/>
      <c r="G279" s="667">
        <f t="shared" ca="1" si="101"/>
        <v>0</v>
      </c>
      <c r="H279" s="667">
        <f t="shared" ca="1" si="57"/>
        <v>0</v>
      </c>
      <c r="I279" s="667">
        <f t="shared" ca="1" si="58"/>
        <v>0</v>
      </c>
      <c r="P279" s="151">
        <f t="shared" si="59"/>
        <v>125</v>
      </c>
      <c r="R279" s="55">
        <f t="shared" si="60"/>
        <v>0</v>
      </c>
      <c r="S279" s="55">
        <f t="shared" si="102"/>
        <v>1</v>
      </c>
      <c r="U279" s="226">
        <f t="shared" si="61"/>
        <v>0</v>
      </c>
      <c r="V279" s="137">
        <f t="shared" ca="1" si="62"/>
        <v>0</v>
      </c>
      <c r="W279" s="137">
        <f t="shared" si="63"/>
        <v>0</v>
      </c>
      <c r="X279" s="137">
        <f t="shared" si="64"/>
        <v>0</v>
      </c>
      <c r="Y279" s="137">
        <f t="shared" ca="1" si="65"/>
        <v>0</v>
      </c>
      <c r="Z279" s="137">
        <f t="shared" ca="1" si="66"/>
        <v>0</v>
      </c>
      <c r="AA279" s="137">
        <f t="shared" ca="1" si="67"/>
        <v>0</v>
      </c>
      <c r="AB279" s="137">
        <f t="shared" ca="1" si="68"/>
        <v>0</v>
      </c>
      <c r="AC279" s="137">
        <f t="shared" ca="1" si="69"/>
        <v>0</v>
      </c>
      <c r="AD279" s="137">
        <f t="shared" ca="1" si="70"/>
        <v>0</v>
      </c>
      <c r="AE279" s="223">
        <f t="shared" ca="1" si="71"/>
        <v>0</v>
      </c>
      <c r="AF279" s="229" t="str">
        <f t="shared" ca="1" si="72"/>
        <v/>
      </c>
      <c r="AH279" s="235">
        <f t="shared" si="73"/>
        <v>45307</v>
      </c>
      <c r="AI279" s="137">
        <f t="shared" ca="1" si="74"/>
        <v>0</v>
      </c>
      <c r="AJ279" s="137">
        <f t="shared" si="75"/>
        <v>0</v>
      </c>
      <c r="AK279" s="137">
        <f t="shared" ca="1" si="103"/>
        <v>0</v>
      </c>
      <c r="AL279" s="137">
        <f t="shared" ca="1" si="104"/>
        <v>0</v>
      </c>
      <c r="AM279" s="137">
        <f t="shared" si="76"/>
        <v>0</v>
      </c>
      <c r="AN279" s="137">
        <f t="shared" ca="1" si="77"/>
        <v>0</v>
      </c>
      <c r="AO279" s="137">
        <f t="shared" ca="1" si="78"/>
        <v>0</v>
      </c>
      <c r="AP279" s="137">
        <f t="shared" ca="1" si="105"/>
        <v>0</v>
      </c>
      <c r="AQ279" s="137">
        <f t="shared" si="79"/>
        <v>0</v>
      </c>
      <c r="AR279" s="236">
        <f t="shared" ca="1" si="80"/>
        <v>0</v>
      </c>
      <c r="AT279" s="241">
        <f t="shared" ca="1" si="81"/>
        <v>28</v>
      </c>
      <c r="AV279" s="222">
        <f t="shared" ca="1" si="106"/>
        <v>0</v>
      </c>
      <c r="AW279" s="247">
        <f t="shared" si="82"/>
        <v>92</v>
      </c>
      <c r="AY279" s="239">
        <f ca="1">(AE279=5)*('  B  '!F$110=1)*OR(AND(AND(A279&gt;=S$220,A279&gt;=I$214),AND(A279&lt;=S$221,A279&lt;=I$215)),AND(AND(A279&gt;=S$230,A279&gt;=I$224),AND(A279&lt;=S$231,A279&lt;=I$225)),AND(AND(A279&gt;=S$240,A279&gt;=I$234),AND(A279&lt;=S$241,A279&lt;=I$235)))</f>
        <v>0</v>
      </c>
      <c r="BA279" s="222">
        <f t="shared" ca="1" si="107"/>
        <v>0</v>
      </c>
      <c r="BB279" s="55">
        <f t="shared" ca="1" si="83"/>
        <v>0</v>
      </c>
      <c r="BC279" s="247">
        <f t="shared" si="84"/>
        <v>182</v>
      </c>
      <c r="BE279" s="239">
        <f t="shared" ca="1" si="108"/>
        <v>0</v>
      </c>
      <c r="BG279" s="239">
        <f t="shared" ca="1" si="109"/>
        <v>0</v>
      </c>
      <c r="BI279" s="222"/>
      <c r="BJ279" s="137">
        <v>0</v>
      </c>
      <c r="BK279" s="137">
        <v>0</v>
      </c>
      <c r="BL279" s="137">
        <f t="shared" ca="1" si="85"/>
        <v>1</v>
      </c>
      <c r="BM279" s="137">
        <f t="shared" ca="1" si="110"/>
        <v>1</v>
      </c>
      <c r="BN279" s="137">
        <f ca="1">(A279&gt;=N_LFP_Startdatum)*IF('  B  '!F$110=1,NOT(OR(A279&gt;S$221,A279&gt;S$231,A279&gt;S$241)),IF(BB279&gt;BC279,0,1))</f>
        <v>1</v>
      </c>
      <c r="BO279" s="137">
        <f t="shared" ca="1" si="86"/>
        <v>1</v>
      </c>
      <c r="BP279" s="137">
        <v>0</v>
      </c>
      <c r="BQ279" s="137">
        <f t="shared" ca="1" si="87"/>
        <v>1</v>
      </c>
      <c r="BR279" s="653">
        <v>0</v>
      </c>
      <c r="BS279" s="224">
        <f ca="1">(A279&gt;=N_LFP_Startdatum)*IF('  B  '!F$110=1,NOT(OR(A279&gt;S$221,A279&gt;S$231,A279&gt;S$241)),IF(BB279&gt;BC279,0,1))</f>
        <v>1</v>
      </c>
      <c r="BU279" s="254">
        <f t="shared" ca="1" si="8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89"/>
        <v>0</v>
      </c>
      <c r="CA279" s="156">
        <f t="shared" ca="1" si="111"/>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12"/>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90"/>
        <v>0</v>
      </c>
      <c r="CL279" s="270">
        <f t="shared" ca="1" si="91"/>
        <v>0</v>
      </c>
      <c r="CM279" s="265">
        <f t="shared" ca="1" si="92"/>
        <v>0</v>
      </c>
      <c r="CO279" s="222"/>
      <c r="CP279" s="137">
        <v>0</v>
      </c>
      <c r="CQ279" s="137">
        <v>0</v>
      </c>
      <c r="CR279" s="137">
        <v>0</v>
      </c>
      <c r="CS279" s="137">
        <f t="shared" ca="1" si="93"/>
        <v>0</v>
      </c>
      <c r="CT279" s="137">
        <f t="shared" ca="1" si="94"/>
        <v>0</v>
      </c>
      <c r="CU279" s="137">
        <f t="shared" ca="1" si="95"/>
        <v>0</v>
      </c>
      <c r="CV279" s="137">
        <v>0</v>
      </c>
      <c r="CW279" s="137">
        <f t="shared" ca="1" si="96"/>
        <v>0</v>
      </c>
      <c r="CX279" s="137">
        <v>0</v>
      </c>
      <c r="CY279" s="224">
        <f t="shared" ca="1" si="97"/>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98"/>
        <v>0</v>
      </c>
      <c r="DF279" s="279">
        <f t="shared" ca="1" si="99"/>
        <v>0</v>
      </c>
      <c r="DG279" s="280">
        <f t="shared" ca="1" si="100"/>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3"/>
        <v>0</v>
      </c>
      <c r="DN279" s="279">
        <f t="shared" ca="1" si="114"/>
        <v>0</v>
      </c>
      <c r="DO279" s="279">
        <f t="shared" ca="1" si="115"/>
        <v>0</v>
      </c>
    </row>
    <row r="280" spans="1:119" x14ac:dyDescent="0.25">
      <c r="A280" s="153">
        <f t="shared" si="116"/>
        <v>45308</v>
      </c>
      <c r="B280" s="154"/>
      <c r="C280" s="154"/>
      <c r="D280" s="154"/>
      <c r="E280" s="875" t="str">
        <f t="shared" ca="1" si="56"/>
        <v/>
      </c>
      <c r="F280" s="876"/>
      <c r="G280" s="667">
        <f t="shared" ca="1" si="101"/>
        <v>0</v>
      </c>
      <c r="H280" s="667">
        <f t="shared" ca="1" si="57"/>
        <v>0</v>
      </c>
      <c r="I280" s="667">
        <f t="shared" ca="1" si="58"/>
        <v>0</v>
      </c>
      <c r="P280" s="151">
        <f t="shared" si="59"/>
        <v>125</v>
      </c>
      <c r="R280" s="55">
        <f t="shared" si="60"/>
        <v>0</v>
      </c>
      <c r="S280" s="55">
        <f t="shared" si="102"/>
        <v>1</v>
      </c>
      <c r="U280" s="226">
        <f t="shared" si="61"/>
        <v>0</v>
      </c>
      <c r="V280" s="137">
        <f t="shared" ca="1" si="62"/>
        <v>0</v>
      </c>
      <c r="W280" s="137">
        <f t="shared" si="63"/>
        <v>0</v>
      </c>
      <c r="X280" s="137">
        <f t="shared" si="64"/>
        <v>0</v>
      </c>
      <c r="Y280" s="137">
        <f t="shared" ca="1" si="65"/>
        <v>0</v>
      </c>
      <c r="Z280" s="137">
        <f t="shared" ca="1" si="66"/>
        <v>0</v>
      </c>
      <c r="AA280" s="137">
        <f t="shared" ca="1" si="67"/>
        <v>0</v>
      </c>
      <c r="AB280" s="137">
        <f t="shared" ca="1" si="68"/>
        <v>0</v>
      </c>
      <c r="AC280" s="137">
        <f t="shared" ca="1" si="69"/>
        <v>0</v>
      </c>
      <c r="AD280" s="137">
        <f t="shared" ca="1" si="70"/>
        <v>0</v>
      </c>
      <c r="AE280" s="223">
        <f t="shared" ca="1" si="71"/>
        <v>0</v>
      </c>
      <c r="AF280" s="229" t="str">
        <f t="shared" ca="1" si="72"/>
        <v/>
      </c>
      <c r="AH280" s="235">
        <f t="shared" si="73"/>
        <v>45308</v>
      </c>
      <c r="AI280" s="137">
        <f t="shared" ca="1" si="74"/>
        <v>0</v>
      </c>
      <c r="AJ280" s="137">
        <f t="shared" si="75"/>
        <v>0</v>
      </c>
      <c r="AK280" s="137">
        <f t="shared" ca="1" si="103"/>
        <v>0</v>
      </c>
      <c r="AL280" s="137">
        <f t="shared" ca="1" si="104"/>
        <v>0</v>
      </c>
      <c r="AM280" s="137">
        <f t="shared" si="76"/>
        <v>0</v>
      </c>
      <c r="AN280" s="137">
        <f t="shared" ca="1" si="77"/>
        <v>0</v>
      </c>
      <c r="AO280" s="137">
        <f t="shared" ca="1" si="78"/>
        <v>0</v>
      </c>
      <c r="AP280" s="137">
        <f t="shared" ca="1" si="105"/>
        <v>0</v>
      </c>
      <c r="AQ280" s="137">
        <f t="shared" si="79"/>
        <v>0</v>
      </c>
      <c r="AR280" s="236">
        <f t="shared" ca="1" si="80"/>
        <v>0</v>
      </c>
      <c r="AT280" s="241">
        <f t="shared" ca="1" si="81"/>
        <v>28</v>
      </c>
      <c r="AV280" s="222">
        <f t="shared" ca="1" si="106"/>
        <v>0</v>
      </c>
      <c r="AW280" s="247">
        <f t="shared" si="82"/>
        <v>92</v>
      </c>
      <c r="AY280" s="239">
        <f ca="1">(AE280=5)*('  B  '!F$110=1)*OR(AND(AND(A280&gt;=S$220,A280&gt;=I$214),AND(A280&lt;=S$221,A280&lt;=I$215)),AND(AND(A280&gt;=S$230,A280&gt;=I$224),AND(A280&lt;=S$231,A280&lt;=I$225)),AND(AND(A280&gt;=S$240,A280&gt;=I$234),AND(A280&lt;=S$241,A280&lt;=I$235)))</f>
        <v>0</v>
      </c>
      <c r="BA280" s="222">
        <f t="shared" ca="1" si="107"/>
        <v>0</v>
      </c>
      <c r="BB280" s="55">
        <f t="shared" ca="1" si="83"/>
        <v>0</v>
      </c>
      <c r="BC280" s="247">
        <f t="shared" si="84"/>
        <v>182</v>
      </c>
      <c r="BE280" s="239">
        <f t="shared" ca="1" si="108"/>
        <v>0</v>
      </c>
      <c r="BG280" s="239">
        <f t="shared" ca="1" si="109"/>
        <v>0</v>
      </c>
      <c r="BI280" s="222"/>
      <c r="BJ280" s="137">
        <v>0</v>
      </c>
      <c r="BK280" s="137">
        <v>0</v>
      </c>
      <c r="BL280" s="137">
        <f t="shared" ca="1" si="85"/>
        <v>1</v>
      </c>
      <c r="BM280" s="137">
        <f t="shared" ca="1" si="110"/>
        <v>1</v>
      </c>
      <c r="BN280" s="137">
        <f ca="1">(A280&gt;=N_LFP_Startdatum)*IF('  B  '!F$110=1,NOT(OR(A280&gt;S$221,A280&gt;S$231,A280&gt;S$241)),IF(BB280&gt;BC280,0,1))</f>
        <v>1</v>
      </c>
      <c r="BO280" s="137">
        <f t="shared" ca="1" si="86"/>
        <v>1</v>
      </c>
      <c r="BP280" s="137">
        <v>0</v>
      </c>
      <c r="BQ280" s="137">
        <f t="shared" ca="1" si="87"/>
        <v>1</v>
      </c>
      <c r="BR280" s="653">
        <v>0</v>
      </c>
      <c r="BS280" s="224">
        <f ca="1">(A280&gt;=N_LFP_Startdatum)*IF('  B  '!F$110=1,NOT(OR(A280&gt;S$221,A280&gt;S$231,A280&gt;S$241)),IF(BB280&gt;BC280,0,1))</f>
        <v>1</v>
      </c>
      <c r="BU280" s="254">
        <f t="shared" ca="1" si="8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89"/>
        <v>0</v>
      </c>
      <c r="CA280" s="156">
        <f t="shared" ca="1" si="111"/>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12"/>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90"/>
        <v>0</v>
      </c>
      <c r="CL280" s="270">
        <f t="shared" ca="1" si="91"/>
        <v>0</v>
      </c>
      <c r="CM280" s="265">
        <f t="shared" ca="1" si="92"/>
        <v>0</v>
      </c>
      <c r="CO280" s="222"/>
      <c r="CP280" s="137">
        <v>0</v>
      </c>
      <c r="CQ280" s="137">
        <v>0</v>
      </c>
      <c r="CR280" s="137">
        <v>0</v>
      </c>
      <c r="CS280" s="137">
        <f t="shared" ca="1" si="93"/>
        <v>0</v>
      </c>
      <c r="CT280" s="137">
        <f t="shared" ca="1" si="94"/>
        <v>0</v>
      </c>
      <c r="CU280" s="137">
        <f t="shared" ca="1" si="95"/>
        <v>0</v>
      </c>
      <c r="CV280" s="137">
        <v>0</v>
      </c>
      <c r="CW280" s="137">
        <f t="shared" ca="1" si="96"/>
        <v>0</v>
      </c>
      <c r="CX280" s="137">
        <v>0</v>
      </c>
      <c r="CY280" s="224">
        <f t="shared" ca="1" si="97"/>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98"/>
        <v>0</v>
      </c>
      <c r="DF280" s="279">
        <f t="shared" ca="1" si="99"/>
        <v>0</v>
      </c>
      <c r="DG280" s="280">
        <f t="shared" ca="1" si="100"/>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3"/>
        <v>0</v>
      </c>
      <c r="DN280" s="279">
        <f t="shared" ca="1" si="114"/>
        <v>0</v>
      </c>
      <c r="DO280" s="279">
        <f t="shared" ca="1" si="115"/>
        <v>0</v>
      </c>
    </row>
    <row r="281" spans="1:119" x14ac:dyDescent="0.25">
      <c r="A281" s="153">
        <f t="shared" si="116"/>
        <v>45309</v>
      </c>
      <c r="B281" s="154"/>
      <c r="C281" s="154"/>
      <c r="D281" s="154"/>
      <c r="E281" s="875" t="str">
        <f t="shared" ca="1" si="56"/>
        <v/>
      </c>
      <c r="F281" s="876"/>
      <c r="G281" s="667">
        <f t="shared" ca="1" si="101"/>
        <v>0</v>
      </c>
      <c r="H281" s="667">
        <f t="shared" ca="1" si="57"/>
        <v>0</v>
      </c>
      <c r="I281" s="667">
        <f t="shared" ca="1" si="58"/>
        <v>0</v>
      </c>
      <c r="P281" s="151">
        <f t="shared" si="59"/>
        <v>125</v>
      </c>
      <c r="R281" s="55">
        <f t="shared" si="60"/>
        <v>0</v>
      </c>
      <c r="S281" s="55">
        <f t="shared" si="102"/>
        <v>1</v>
      </c>
      <c r="U281" s="226">
        <f t="shared" si="61"/>
        <v>0</v>
      </c>
      <c r="V281" s="137">
        <f t="shared" ca="1" si="62"/>
        <v>0</v>
      </c>
      <c r="W281" s="137">
        <f t="shared" si="63"/>
        <v>0</v>
      </c>
      <c r="X281" s="137">
        <f t="shared" si="64"/>
        <v>0</v>
      </c>
      <c r="Y281" s="137">
        <f t="shared" ca="1" si="65"/>
        <v>0</v>
      </c>
      <c r="Z281" s="137">
        <f t="shared" ca="1" si="66"/>
        <v>0</v>
      </c>
      <c r="AA281" s="137">
        <f t="shared" ca="1" si="67"/>
        <v>0</v>
      </c>
      <c r="AB281" s="137">
        <f t="shared" ca="1" si="68"/>
        <v>0</v>
      </c>
      <c r="AC281" s="137">
        <f t="shared" ca="1" si="69"/>
        <v>0</v>
      </c>
      <c r="AD281" s="137">
        <f t="shared" ca="1" si="70"/>
        <v>0</v>
      </c>
      <c r="AE281" s="223">
        <f t="shared" ca="1" si="71"/>
        <v>0</v>
      </c>
      <c r="AF281" s="229" t="str">
        <f t="shared" ca="1" si="72"/>
        <v/>
      </c>
      <c r="AH281" s="235">
        <f t="shared" si="73"/>
        <v>45309</v>
      </c>
      <c r="AI281" s="137">
        <f t="shared" ca="1" si="74"/>
        <v>0</v>
      </c>
      <c r="AJ281" s="137">
        <f t="shared" si="75"/>
        <v>0</v>
      </c>
      <c r="AK281" s="137">
        <f t="shared" ca="1" si="103"/>
        <v>0</v>
      </c>
      <c r="AL281" s="137">
        <f t="shared" ca="1" si="104"/>
        <v>0</v>
      </c>
      <c r="AM281" s="137">
        <f t="shared" si="76"/>
        <v>0</v>
      </c>
      <c r="AN281" s="137">
        <f t="shared" ca="1" si="77"/>
        <v>0</v>
      </c>
      <c r="AO281" s="137">
        <f t="shared" ca="1" si="78"/>
        <v>0</v>
      </c>
      <c r="AP281" s="137">
        <f t="shared" ca="1" si="105"/>
        <v>0</v>
      </c>
      <c r="AQ281" s="137">
        <f t="shared" si="79"/>
        <v>0</v>
      </c>
      <c r="AR281" s="236">
        <f t="shared" ca="1" si="80"/>
        <v>0</v>
      </c>
      <c r="AT281" s="241">
        <f t="shared" ca="1" si="81"/>
        <v>28</v>
      </c>
      <c r="AV281" s="222">
        <f t="shared" ca="1" si="106"/>
        <v>0</v>
      </c>
      <c r="AW281" s="247">
        <f t="shared" si="82"/>
        <v>92</v>
      </c>
      <c r="AY281" s="239">
        <f ca="1">(AE281=5)*('  B  '!F$110=1)*OR(AND(AND(A281&gt;=S$220,A281&gt;=I$214),AND(A281&lt;=S$221,A281&lt;=I$215)),AND(AND(A281&gt;=S$230,A281&gt;=I$224),AND(A281&lt;=S$231,A281&lt;=I$225)),AND(AND(A281&gt;=S$240,A281&gt;=I$234),AND(A281&lt;=S$241,A281&lt;=I$235)))</f>
        <v>0</v>
      </c>
      <c r="BA281" s="222">
        <f t="shared" ca="1" si="107"/>
        <v>0</v>
      </c>
      <c r="BB281" s="55">
        <f t="shared" ca="1" si="83"/>
        <v>0</v>
      </c>
      <c r="BC281" s="247">
        <f t="shared" si="84"/>
        <v>182</v>
      </c>
      <c r="BE281" s="239">
        <f t="shared" ca="1" si="108"/>
        <v>0</v>
      </c>
      <c r="BG281" s="239">
        <f t="shared" ca="1" si="109"/>
        <v>0</v>
      </c>
      <c r="BI281" s="222"/>
      <c r="BJ281" s="137">
        <v>0</v>
      </c>
      <c r="BK281" s="137">
        <v>0</v>
      </c>
      <c r="BL281" s="137">
        <f t="shared" ca="1" si="85"/>
        <v>1</v>
      </c>
      <c r="BM281" s="137">
        <f t="shared" ca="1" si="110"/>
        <v>1</v>
      </c>
      <c r="BN281" s="137">
        <f ca="1">(A281&gt;=N_LFP_Startdatum)*IF('  B  '!F$110=1,NOT(OR(A281&gt;S$221,A281&gt;S$231,A281&gt;S$241)),IF(BB281&gt;BC281,0,1))</f>
        <v>1</v>
      </c>
      <c r="BO281" s="137">
        <f t="shared" ca="1" si="86"/>
        <v>1</v>
      </c>
      <c r="BP281" s="137">
        <v>0</v>
      </c>
      <c r="BQ281" s="137">
        <f t="shared" ca="1" si="87"/>
        <v>1</v>
      </c>
      <c r="BR281" s="653">
        <v>0</v>
      </c>
      <c r="BS281" s="224">
        <f ca="1">(A281&gt;=N_LFP_Startdatum)*IF('  B  '!F$110=1,NOT(OR(A281&gt;S$221,A281&gt;S$231,A281&gt;S$241)),IF(BB281&gt;BC281,0,1))</f>
        <v>1</v>
      </c>
      <c r="BU281" s="254">
        <f t="shared" ca="1" si="8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89"/>
        <v>0</v>
      </c>
      <c r="CA281" s="156">
        <f t="shared" ca="1" si="111"/>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12"/>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90"/>
        <v>0</v>
      </c>
      <c r="CL281" s="270">
        <f t="shared" ca="1" si="91"/>
        <v>0</v>
      </c>
      <c r="CM281" s="265">
        <f t="shared" ca="1" si="92"/>
        <v>0</v>
      </c>
      <c r="CO281" s="222"/>
      <c r="CP281" s="137">
        <v>0</v>
      </c>
      <c r="CQ281" s="137">
        <v>0</v>
      </c>
      <c r="CR281" s="137">
        <v>0</v>
      </c>
      <c r="CS281" s="137">
        <f t="shared" ca="1" si="93"/>
        <v>0</v>
      </c>
      <c r="CT281" s="137">
        <f t="shared" ca="1" si="94"/>
        <v>0</v>
      </c>
      <c r="CU281" s="137">
        <f t="shared" ca="1" si="95"/>
        <v>0</v>
      </c>
      <c r="CV281" s="137">
        <v>0</v>
      </c>
      <c r="CW281" s="137">
        <f t="shared" ca="1" si="96"/>
        <v>0</v>
      </c>
      <c r="CX281" s="137">
        <v>0</v>
      </c>
      <c r="CY281" s="224">
        <f t="shared" ca="1" si="97"/>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98"/>
        <v>0</v>
      </c>
      <c r="DF281" s="279">
        <f t="shared" ca="1" si="99"/>
        <v>0</v>
      </c>
      <c r="DG281" s="280">
        <f t="shared" ca="1" si="100"/>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3"/>
        <v>0</v>
      </c>
      <c r="DN281" s="279">
        <f t="shared" ca="1" si="114"/>
        <v>0</v>
      </c>
      <c r="DO281" s="279">
        <f t="shared" ca="1" si="115"/>
        <v>0</v>
      </c>
    </row>
    <row r="282" spans="1:119" x14ac:dyDescent="0.25">
      <c r="A282" s="153">
        <f t="shared" si="116"/>
        <v>45310</v>
      </c>
      <c r="B282" s="154"/>
      <c r="C282" s="154"/>
      <c r="D282" s="154"/>
      <c r="E282" s="875" t="str">
        <f t="shared" ca="1" si="56"/>
        <v/>
      </c>
      <c r="F282" s="876"/>
      <c r="G282" s="667">
        <f t="shared" ca="1" si="101"/>
        <v>0</v>
      </c>
      <c r="H282" s="667">
        <f t="shared" ca="1" si="57"/>
        <v>0</v>
      </c>
      <c r="I282" s="667">
        <f t="shared" ca="1" si="58"/>
        <v>0</v>
      </c>
      <c r="P282" s="151">
        <f t="shared" si="59"/>
        <v>125</v>
      </c>
      <c r="R282" s="55">
        <f t="shared" si="60"/>
        <v>0</v>
      </c>
      <c r="S282" s="55">
        <f t="shared" si="102"/>
        <v>1</v>
      </c>
      <c r="U282" s="226">
        <f t="shared" si="61"/>
        <v>0</v>
      </c>
      <c r="V282" s="137">
        <f t="shared" ca="1" si="62"/>
        <v>0</v>
      </c>
      <c r="W282" s="137">
        <f t="shared" si="63"/>
        <v>0</v>
      </c>
      <c r="X282" s="137">
        <f t="shared" si="64"/>
        <v>0</v>
      </c>
      <c r="Y282" s="137">
        <f t="shared" ca="1" si="65"/>
        <v>0</v>
      </c>
      <c r="Z282" s="137">
        <f t="shared" ca="1" si="66"/>
        <v>0</v>
      </c>
      <c r="AA282" s="137">
        <f t="shared" ca="1" si="67"/>
        <v>0</v>
      </c>
      <c r="AB282" s="137">
        <f t="shared" ca="1" si="68"/>
        <v>0</v>
      </c>
      <c r="AC282" s="137">
        <f t="shared" ca="1" si="69"/>
        <v>0</v>
      </c>
      <c r="AD282" s="137">
        <f t="shared" ca="1" si="70"/>
        <v>0</v>
      </c>
      <c r="AE282" s="223">
        <f t="shared" ca="1" si="71"/>
        <v>0</v>
      </c>
      <c r="AF282" s="229" t="str">
        <f t="shared" ca="1" si="72"/>
        <v/>
      </c>
      <c r="AH282" s="235">
        <f t="shared" si="73"/>
        <v>45310</v>
      </c>
      <c r="AI282" s="137">
        <f t="shared" ca="1" si="74"/>
        <v>0</v>
      </c>
      <c r="AJ282" s="137">
        <f t="shared" si="75"/>
        <v>0</v>
      </c>
      <c r="AK282" s="137">
        <f t="shared" ca="1" si="103"/>
        <v>0</v>
      </c>
      <c r="AL282" s="137">
        <f t="shared" ca="1" si="104"/>
        <v>0</v>
      </c>
      <c r="AM282" s="137">
        <f t="shared" si="76"/>
        <v>0</v>
      </c>
      <c r="AN282" s="137">
        <f t="shared" ca="1" si="77"/>
        <v>0</v>
      </c>
      <c r="AO282" s="137">
        <f t="shared" ca="1" si="78"/>
        <v>0</v>
      </c>
      <c r="AP282" s="137">
        <f t="shared" ca="1" si="105"/>
        <v>0</v>
      </c>
      <c r="AQ282" s="137">
        <f t="shared" si="79"/>
        <v>0</v>
      </c>
      <c r="AR282" s="236">
        <f t="shared" ca="1" si="80"/>
        <v>0</v>
      </c>
      <c r="AT282" s="241">
        <f t="shared" ca="1" si="81"/>
        <v>28</v>
      </c>
      <c r="AV282" s="222">
        <f t="shared" ca="1" si="106"/>
        <v>0</v>
      </c>
      <c r="AW282" s="247">
        <f t="shared" si="82"/>
        <v>92</v>
      </c>
      <c r="AY282" s="239">
        <f ca="1">(AE282=5)*('  B  '!F$110=1)*OR(AND(AND(A282&gt;=S$220,A282&gt;=I$214),AND(A282&lt;=S$221,A282&lt;=I$215)),AND(AND(A282&gt;=S$230,A282&gt;=I$224),AND(A282&lt;=S$231,A282&lt;=I$225)),AND(AND(A282&gt;=S$240,A282&gt;=I$234),AND(A282&lt;=S$241,A282&lt;=I$235)))</f>
        <v>0</v>
      </c>
      <c r="BA282" s="222">
        <f t="shared" ca="1" si="107"/>
        <v>0</v>
      </c>
      <c r="BB282" s="55">
        <f t="shared" ca="1" si="83"/>
        <v>0</v>
      </c>
      <c r="BC282" s="247">
        <f t="shared" si="84"/>
        <v>182</v>
      </c>
      <c r="BE282" s="239">
        <f t="shared" ca="1" si="108"/>
        <v>0</v>
      </c>
      <c r="BG282" s="239">
        <f t="shared" ca="1" si="109"/>
        <v>0</v>
      </c>
      <c r="BI282" s="222"/>
      <c r="BJ282" s="137">
        <v>0</v>
      </c>
      <c r="BK282" s="137">
        <v>0</v>
      </c>
      <c r="BL282" s="137">
        <f t="shared" ca="1" si="85"/>
        <v>1</v>
      </c>
      <c r="BM282" s="137">
        <f t="shared" ca="1" si="110"/>
        <v>1</v>
      </c>
      <c r="BN282" s="137">
        <f ca="1">(A282&gt;=N_LFP_Startdatum)*IF('  B  '!F$110=1,NOT(OR(A282&gt;S$221,A282&gt;S$231,A282&gt;S$241)),IF(BB282&gt;BC282,0,1))</f>
        <v>1</v>
      </c>
      <c r="BO282" s="137">
        <f t="shared" ca="1" si="86"/>
        <v>1</v>
      </c>
      <c r="BP282" s="137">
        <v>0</v>
      </c>
      <c r="BQ282" s="137">
        <f t="shared" ca="1" si="87"/>
        <v>1</v>
      </c>
      <c r="BR282" s="653">
        <v>0</v>
      </c>
      <c r="BS282" s="224">
        <f ca="1">(A282&gt;=N_LFP_Startdatum)*IF('  B  '!F$110=1,NOT(OR(A282&gt;S$221,A282&gt;S$231,A282&gt;S$241)),IF(BB282&gt;BC282,0,1))</f>
        <v>1</v>
      </c>
      <c r="BU282" s="254">
        <f t="shared" ca="1" si="8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89"/>
        <v>0</v>
      </c>
      <c r="CA282" s="156">
        <f t="shared" ca="1" si="111"/>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12"/>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90"/>
        <v>0</v>
      </c>
      <c r="CL282" s="270">
        <f t="shared" ca="1" si="91"/>
        <v>0</v>
      </c>
      <c r="CM282" s="265">
        <f t="shared" ca="1" si="92"/>
        <v>0</v>
      </c>
      <c r="CO282" s="222"/>
      <c r="CP282" s="137">
        <v>0</v>
      </c>
      <c r="CQ282" s="137">
        <v>0</v>
      </c>
      <c r="CR282" s="137">
        <v>0</v>
      </c>
      <c r="CS282" s="137">
        <f t="shared" ca="1" si="93"/>
        <v>0</v>
      </c>
      <c r="CT282" s="137">
        <f t="shared" ca="1" si="94"/>
        <v>0</v>
      </c>
      <c r="CU282" s="137">
        <f t="shared" ca="1" si="95"/>
        <v>0</v>
      </c>
      <c r="CV282" s="137">
        <v>0</v>
      </c>
      <c r="CW282" s="137">
        <f t="shared" ca="1" si="96"/>
        <v>0</v>
      </c>
      <c r="CX282" s="137">
        <v>0</v>
      </c>
      <c r="CY282" s="224">
        <f t="shared" ca="1" si="97"/>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98"/>
        <v>0</v>
      </c>
      <c r="DF282" s="279">
        <f t="shared" ca="1" si="99"/>
        <v>0</v>
      </c>
      <c r="DG282" s="280">
        <f t="shared" ca="1" si="100"/>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3"/>
        <v>0</v>
      </c>
      <c r="DN282" s="279">
        <f t="shared" ca="1" si="114"/>
        <v>0</v>
      </c>
      <c r="DO282" s="279">
        <f t="shared" ca="1" si="115"/>
        <v>0</v>
      </c>
    </row>
    <row r="283" spans="1:119" x14ac:dyDescent="0.25">
      <c r="A283" s="153">
        <f t="shared" si="116"/>
        <v>45311</v>
      </c>
      <c r="B283" s="154"/>
      <c r="C283" s="154"/>
      <c r="D283" s="154"/>
      <c r="E283" s="875" t="str">
        <f t="shared" ca="1" si="56"/>
        <v/>
      </c>
      <c r="F283" s="876"/>
      <c r="G283" s="667">
        <f t="shared" ca="1" si="101"/>
        <v>0</v>
      </c>
      <c r="H283" s="667">
        <f t="shared" ca="1" si="57"/>
        <v>0</v>
      </c>
      <c r="I283" s="667">
        <f t="shared" ca="1" si="58"/>
        <v>0</v>
      </c>
      <c r="P283" s="151">
        <f t="shared" si="59"/>
        <v>125</v>
      </c>
      <c r="R283" s="55">
        <f t="shared" si="60"/>
        <v>0</v>
      </c>
      <c r="S283" s="55">
        <f t="shared" si="102"/>
        <v>1</v>
      </c>
      <c r="U283" s="226">
        <f t="shared" si="61"/>
        <v>0</v>
      </c>
      <c r="V283" s="137">
        <f t="shared" ca="1" si="62"/>
        <v>0</v>
      </c>
      <c r="W283" s="137">
        <f t="shared" si="63"/>
        <v>0</v>
      </c>
      <c r="X283" s="137">
        <f t="shared" si="64"/>
        <v>0</v>
      </c>
      <c r="Y283" s="137">
        <f t="shared" ca="1" si="65"/>
        <v>0</v>
      </c>
      <c r="Z283" s="137">
        <f t="shared" ca="1" si="66"/>
        <v>0</v>
      </c>
      <c r="AA283" s="137">
        <f t="shared" ca="1" si="67"/>
        <v>0</v>
      </c>
      <c r="AB283" s="137">
        <f t="shared" ca="1" si="68"/>
        <v>0</v>
      </c>
      <c r="AC283" s="137">
        <f t="shared" ca="1" si="69"/>
        <v>0</v>
      </c>
      <c r="AD283" s="137">
        <f t="shared" ca="1" si="70"/>
        <v>0</v>
      </c>
      <c r="AE283" s="223">
        <f t="shared" ca="1" si="71"/>
        <v>0</v>
      </c>
      <c r="AF283" s="229" t="str">
        <f t="shared" ca="1" si="72"/>
        <v/>
      </c>
      <c r="AH283" s="235">
        <f t="shared" si="73"/>
        <v>45311</v>
      </c>
      <c r="AI283" s="137">
        <f t="shared" ca="1" si="74"/>
        <v>0</v>
      </c>
      <c r="AJ283" s="137">
        <f t="shared" si="75"/>
        <v>0</v>
      </c>
      <c r="AK283" s="137">
        <f t="shared" ca="1" si="103"/>
        <v>0</v>
      </c>
      <c r="AL283" s="137">
        <f t="shared" ca="1" si="104"/>
        <v>0</v>
      </c>
      <c r="AM283" s="137">
        <f t="shared" si="76"/>
        <v>0</v>
      </c>
      <c r="AN283" s="137">
        <f t="shared" ca="1" si="77"/>
        <v>0</v>
      </c>
      <c r="AO283" s="137">
        <f t="shared" ca="1" si="78"/>
        <v>0</v>
      </c>
      <c r="AP283" s="137">
        <f t="shared" ca="1" si="105"/>
        <v>0</v>
      </c>
      <c r="AQ283" s="137">
        <f t="shared" si="79"/>
        <v>0</v>
      </c>
      <c r="AR283" s="236">
        <f t="shared" ca="1" si="80"/>
        <v>0</v>
      </c>
      <c r="AT283" s="241">
        <f t="shared" ca="1" si="81"/>
        <v>28</v>
      </c>
      <c r="AV283" s="222">
        <f t="shared" ca="1" si="106"/>
        <v>0</v>
      </c>
      <c r="AW283" s="247">
        <f t="shared" si="82"/>
        <v>92</v>
      </c>
      <c r="AY283" s="239">
        <f ca="1">(AE283=5)*('  B  '!F$110=1)*OR(AND(AND(A283&gt;=S$220,A283&gt;=I$214),AND(A283&lt;=S$221,A283&lt;=I$215)),AND(AND(A283&gt;=S$230,A283&gt;=I$224),AND(A283&lt;=S$231,A283&lt;=I$225)),AND(AND(A283&gt;=S$240,A283&gt;=I$234),AND(A283&lt;=S$241,A283&lt;=I$235)))</f>
        <v>0</v>
      </c>
      <c r="BA283" s="222">
        <f t="shared" ca="1" si="107"/>
        <v>0</v>
      </c>
      <c r="BB283" s="55">
        <f t="shared" ca="1" si="83"/>
        <v>0</v>
      </c>
      <c r="BC283" s="247">
        <f t="shared" si="84"/>
        <v>182</v>
      </c>
      <c r="BE283" s="239">
        <f t="shared" ca="1" si="108"/>
        <v>0</v>
      </c>
      <c r="BG283" s="239">
        <f t="shared" ca="1" si="109"/>
        <v>0</v>
      </c>
      <c r="BI283" s="222"/>
      <c r="BJ283" s="137">
        <v>0</v>
      </c>
      <c r="BK283" s="137">
        <v>0</v>
      </c>
      <c r="BL283" s="137">
        <f t="shared" ca="1" si="85"/>
        <v>1</v>
      </c>
      <c r="BM283" s="137">
        <f t="shared" ca="1" si="110"/>
        <v>1</v>
      </c>
      <c r="BN283" s="137">
        <f ca="1">(A283&gt;=N_LFP_Startdatum)*IF('  B  '!F$110=1,NOT(OR(A283&gt;S$221,A283&gt;S$231,A283&gt;S$241)),IF(BB283&gt;BC283,0,1))</f>
        <v>1</v>
      </c>
      <c r="BO283" s="137">
        <f t="shared" ca="1" si="86"/>
        <v>1</v>
      </c>
      <c r="BP283" s="137">
        <v>0</v>
      </c>
      <c r="BQ283" s="137">
        <f t="shared" ca="1" si="87"/>
        <v>1</v>
      </c>
      <c r="BR283" s="653">
        <v>0</v>
      </c>
      <c r="BS283" s="224">
        <f ca="1">(A283&gt;=N_LFP_Startdatum)*IF('  B  '!F$110=1,NOT(OR(A283&gt;S$221,A283&gt;S$231,A283&gt;S$241)),IF(BB283&gt;BC283,0,1))</f>
        <v>1</v>
      </c>
      <c r="BU283" s="254">
        <f t="shared" ca="1" si="8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89"/>
        <v>0</v>
      </c>
      <c r="CA283" s="156">
        <f t="shared" ca="1" si="111"/>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12"/>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90"/>
        <v>0</v>
      </c>
      <c r="CL283" s="270">
        <f t="shared" ca="1" si="91"/>
        <v>0</v>
      </c>
      <c r="CM283" s="265">
        <f t="shared" ca="1" si="92"/>
        <v>0</v>
      </c>
      <c r="CO283" s="222"/>
      <c r="CP283" s="137">
        <v>0</v>
      </c>
      <c r="CQ283" s="137">
        <v>0</v>
      </c>
      <c r="CR283" s="137">
        <v>0</v>
      </c>
      <c r="CS283" s="137">
        <f t="shared" ca="1" si="93"/>
        <v>0</v>
      </c>
      <c r="CT283" s="137">
        <f t="shared" ca="1" si="94"/>
        <v>0</v>
      </c>
      <c r="CU283" s="137">
        <f t="shared" ca="1" si="95"/>
        <v>0</v>
      </c>
      <c r="CV283" s="137">
        <v>0</v>
      </c>
      <c r="CW283" s="137">
        <f t="shared" ca="1" si="96"/>
        <v>0</v>
      </c>
      <c r="CX283" s="137">
        <v>0</v>
      </c>
      <c r="CY283" s="224">
        <f t="shared" ca="1" si="97"/>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98"/>
        <v>0</v>
      </c>
      <c r="DF283" s="279">
        <f t="shared" ca="1" si="99"/>
        <v>0</v>
      </c>
      <c r="DG283" s="280">
        <f t="shared" ca="1" si="100"/>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3"/>
        <v>0</v>
      </c>
      <c r="DN283" s="279">
        <f t="shared" ca="1" si="114"/>
        <v>0</v>
      </c>
      <c r="DO283" s="279">
        <f t="shared" ca="1" si="115"/>
        <v>0</v>
      </c>
    </row>
    <row r="284" spans="1:119" ht="12.75" customHeight="1" x14ac:dyDescent="0.25">
      <c r="A284" s="153">
        <f t="shared" si="116"/>
        <v>45312</v>
      </c>
      <c r="B284" s="154"/>
      <c r="C284" s="154"/>
      <c r="D284" s="154"/>
      <c r="E284" s="875" t="str">
        <f t="shared" ca="1" si="56"/>
        <v/>
      </c>
      <c r="F284" s="876"/>
      <c r="G284" s="667">
        <f t="shared" ca="1" si="101"/>
        <v>0</v>
      </c>
      <c r="H284" s="667">
        <f t="shared" ca="1" si="57"/>
        <v>0</v>
      </c>
      <c r="I284" s="667">
        <f t="shared" ca="1" si="58"/>
        <v>0</v>
      </c>
      <c r="P284" s="151">
        <f t="shared" si="59"/>
        <v>125</v>
      </c>
      <c r="R284" s="55">
        <f t="shared" si="60"/>
        <v>0</v>
      </c>
      <c r="S284" s="55">
        <f t="shared" si="102"/>
        <v>1</v>
      </c>
      <c r="U284" s="226">
        <f t="shared" si="61"/>
        <v>0</v>
      </c>
      <c r="V284" s="137">
        <f t="shared" ca="1" si="62"/>
        <v>0</v>
      </c>
      <c r="W284" s="137">
        <f t="shared" si="63"/>
        <v>0</v>
      </c>
      <c r="X284" s="137">
        <f t="shared" si="64"/>
        <v>0</v>
      </c>
      <c r="Y284" s="137">
        <f t="shared" ca="1" si="65"/>
        <v>0</v>
      </c>
      <c r="Z284" s="137">
        <f t="shared" ca="1" si="66"/>
        <v>0</v>
      </c>
      <c r="AA284" s="137">
        <f t="shared" ca="1" si="67"/>
        <v>0</v>
      </c>
      <c r="AB284" s="137">
        <f t="shared" ca="1" si="68"/>
        <v>0</v>
      </c>
      <c r="AC284" s="137">
        <f t="shared" ca="1" si="69"/>
        <v>0</v>
      </c>
      <c r="AD284" s="137">
        <f t="shared" ca="1" si="70"/>
        <v>0</v>
      </c>
      <c r="AE284" s="223">
        <f t="shared" ca="1" si="71"/>
        <v>0</v>
      </c>
      <c r="AF284" s="229" t="str">
        <f t="shared" ca="1" si="72"/>
        <v/>
      </c>
      <c r="AH284" s="235">
        <f t="shared" si="73"/>
        <v>45312</v>
      </c>
      <c r="AI284" s="137">
        <f t="shared" ca="1" si="74"/>
        <v>0</v>
      </c>
      <c r="AJ284" s="137">
        <f t="shared" si="75"/>
        <v>0</v>
      </c>
      <c r="AK284" s="137">
        <f t="shared" ca="1" si="103"/>
        <v>0</v>
      </c>
      <c r="AL284" s="137">
        <f t="shared" ca="1" si="104"/>
        <v>0</v>
      </c>
      <c r="AM284" s="137">
        <f t="shared" si="76"/>
        <v>0</v>
      </c>
      <c r="AN284" s="137">
        <f t="shared" ca="1" si="77"/>
        <v>0</v>
      </c>
      <c r="AO284" s="137">
        <f t="shared" ca="1" si="78"/>
        <v>0</v>
      </c>
      <c r="AP284" s="137">
        <f t="shared" ca="1" si="105"/>
        <v>0</v>
      </c>
      <c r="AQ284" s="137">
        <f t="shared" si="79"/>
        <v>0</v>
      </c>
      <c r="AR284" s="236">
        <f t="shared" ca="1" si="80"/>
        <v>0</v>
      </c>
      <c r="AT284" s="241">
        <f t="shared" ca="1" si="81"/>
        <v>28</v>
      </c>
      <c r="AV284" s="222">
        <f t="shared" ca="1" si="106"/>
        <v>0</v>
      </c>
      <c r="AW284" s="247">
        <f t="shared" si="82"/>
        <v>92</v>
      </c>
      <c r="AY284" s="239">
        <f ca="1">(AE284=5)*('  B  '!F$110=1)*OR(AND(AND(A284&gt;=S$220,A284&gt;=I$214),AND(A284&lt;=S$221,A284&lt;=I$215)),AND(AND(A284&gt;=S$230,A284&gt;=I$224),AND(A284&lt;=S$231,A284&lt;=I$225)),AND(AND(A284&gt;=S$240,A284&gt;=I$234),AND(A284&lt;=S$241,A284&lt;=I$235)))</f>
        <v>0</v>
      </c>
      <c r="BA284" s="222">
        <f t="shared" ca="1" si="107"/>
        <v>0</v>
      </c>
      <c r="BB284" s="55">
        <f t="shared" ca="1" si="83"/>
        <v>0</v>
      </c>
      <c r="BC284" s="247">
        <f t="shared" si="84"/>
        <v>182</v>
      </c>
      <c r="BE284" s="239">
        <f t="shared" ca="1" si="108"/>
        <v>0</v>
      </c>
      <c r="BG284" s="239">
        <f t="shared" ca="1" si="109"/>
        <v>0</v>
      </c>
      <c r="BI284" s="222"/>
      <c r="BJ284" s="137">
        <v>0</v>
      </c>
      <c r="BK284" s="137">
        <v>0</v>
      </c>
      <c r="BL284" s="137">
        <f t="shared" ca="1" si="85"/>
        <v>1</v>
      </c>
      <c r="BM284" s="137">
        <f t="shared" ca="1" si="110"/>
        <v>1</v>
      </c>
      <c r="BN284" s="137">
        <f ca="1">(A284&gt;=N_LFP_Startdatum)*IF('  B  '!F$110=1,NOT(OR(A284&gt;S$221,A284&gt;S$231,A284&gt;S$241)),IF(BB284&gt;BC284,0,1))</f>
        <v>1</v>
      </c>
      <c r="BO284" s="137">
        <f t="shared" ca="1" si="86"/>
        <v>1</v>
      </c>
      <c r="BP284" s="137">
        <v>0</v>
      </c>
      <c r="BQ284" s="137">
        <f t="shared" ca="1" si="87"/>
        <v>1</v>
      </c>
      <c r="BR284" s="653">
        <v>0</v>
      </c>
      <c r="BS284" s="224">
        <f ca="1">(A284&gt;=N_LFP_Startdatum)*IF('  B  '!F$110=1,NOT(OR(A284&gt;S$221,A284&gt;S$231,A284&gt;S$241)),IF(BB284&gt;BC284,0,1))</f>
        <v>1</v>
      </c>
      <c r="BU284" s="254">
        <f t="shared" ca="1" si="8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89"/>
        <v>0</v>
      </c>
      <c r="CA284" s="156">
        <f t="shared" ca="1" si="111"/>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12"/>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90"/>
        <v>0</v>
      </c>
      <c r="CL284" s="270">
        <f t="shared" ca="1" si="91"/>
        <v>0</v>
      </c>
      <c r="CM284" s="265">
        <f t="shared" ca="1" si="92"/>
        <v>0</v>
      </c>
      <c r="CO284" s="222"/>
      <c r="CP284" s="137">
        <v>0</v>
      </c>
      <c r="CQ284" s="137">
        <v>0</v>
      </c>
      <c r="CR284" s="137">
        <v>0</v>
      </c>
      <c r="CS284" s="137">
        <f t="shared" ca="1" si="93"/>
        <v>0</v>
      </c>
      <c r="CT284" s="137">
        <f t="shared" ca="1" si="94"/>
        <v>0</v>
      </c>
      <c r="CU284" s="137">
        <f t="shared" ca="1" si="95"/>
        <v>0</v>
      </c>
      <c r="CV284" s="137">
        <v>0</v>
      </c>
      <c r="CW284" s="137">
        <f t="shared" ca="1" si="96"/>
        <v>0</v>
      </c>
      <c r="CX284" s="137">
        <v>0</v>
      </c>
      <c r="CY284" s="224">
        <f t="shared" ca="1" si="97"/>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98"/>
        <v>0</v>
      </c>
      <c r="DF284" s="279">
        <f t="shared" ca="1" si="99"/>
        <v>0</v>
      </c>
      <c r="DG284" s="280">
        <f t="shared" ca="1" si="100"/>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3"/>
        <v>0</v>
      </c>
      <c r="DN284" s="279">
        <f t="shared" ca="1" si="114"/>
        <v>0</v>
      </c>
      <c r="DO284" s="279">
        <f t="shared" ca="1" si="115"/>
        <v>0</v>
      </c>
    </row>
    <row r="285" spans="1:119" x14ac:dyDescent="0.25">
      <c r="A285" s="153">
        <f t="shared" si="116"/>
        <v>45313</v>
      </c>
      <c r="B285" s="154"/>
      <c r="C285" s="154"/>
      <c r="D285" s="154"/>
      <c r="E285" s="875" t="str">
        <f t="shared" ca="1" si="56"/>
        <v/>
      </c>
      <c r="F285" s="876"/>
      <c r="G285" s="667">
        <f t="shared" ca="1" si="101"/>
        <v>0</v>
      </c>
      <c r="H285" s="667">
        <f t="shared" ca="1" si="57"/>
        <v>0</v>
      </c>
      <c r="I285" s="667">
        <f t="shared" ca="1" si="58"/>
        <v>0</v>
      </c>
      <c r="P285" s="151">
        <f t="shared" si="59"/>
        <v>125</v>
      </c>
      <c r="R285" s="55">
        <f t="shared" si="60"/>
        <v>0</v>
      </c>
      <c r="S285" s="55">
        <f t="shared" si="102"/>
        <v>1</v>
      </c>
      <c r="U285" s="226">
        <f t="shared" si="61"/>
        <v>0</v>
      </c>
      <c r="V285" s="137">
        <f t="shared" ca="1" si="62"/>
        <v>0</v>
      </c>
      <c r="W285" s="137">
        <f t="shared" si="63"/>
        <v>0</v>
      </c>
      <c r="X285" s="137">
        <f t="shared" si="64"/>
        <v>0</v>
      </c>
      <c r="Y285" s="137">
        <f t="shared" ca="1" si="65"/>
        <v>0</v>
      </c>
      <c r="Z285" s="137">
        <f t="shared" ca="1" si="66"/>
        <v>0</v>
      </c>
      <c r="AA285" s="137">
        <f t="shared" ca="1" si="67"/>
        <v>0</v>
      </c>
      <c r="AB285" s="137">
        <f t="shared" ca="1" si="68"/>
        <v>0</v>
      </c>
      <c r="AC285" s="137">
        <f t="shared" ca="1" si="69"/>
        <v>0</v>
      </c>
      <c r="AD285" s="137">
        <f t="shared" ca="1" si="70"/>
        <v>0</v>
      </c>
      <c r="AE285" s="223">
        <f t="shared" ca="1" si="71"/>
        <v>0</v>
      </c>
      <c r="AF285" s="229" t="str">
        <f t="shared" ca="1" si="72"/>
        <v/>
      </c>
      <c r="AH285" s="235">
        <f t="shared" si="73"/>
        <v>45313</v>
      </c>
      <c r="AI285" s="137">
        <f t="shared" ca="1" si="74"/>
        <v>0</v>
      </c>
      <c r="AJ285" s="137">
        <f t="shared" si="75"/>
        <v>0</v>
      </c>
      <c r="AK285" s="137">
        <f t="shared" ca="1" si="103"/>
        <v>0</v>
      </c>
      <c r="AL285" s="137">
        <f t="shared" ca="1" si="104"/>
        <v>0</v>
      </c>
      <c r="AM285" s="137">
        <f t="shared" si="76"/>
        <v>0</v>
      </c>
      <c r="AN285" s="137">
        <f t="shared" ca="1" si="77"/>
        <v>0</v>
      </c>
      <c r="AO285" s="137">
        <f t="shared" ca="1" si="78"/>
        <v>0</v>
      </c>
      <c r="AP285" s="137">
        <f t="shared" ca="1" si="105"/>
        <v>0</v>
      </c>
      <c r="AQ285" s="137">
        <f t="shared" si="79"/>
        <v>0</v>
      </c>
      <c r="AR285" s="236">
        <f t="shared" ca="1" si="80"/>
        <v>0</v>
      </c>
      <c r="AT285" s="241">
        <f t="shared" ca="1" si="81"/>
        <v>28</v>
      </c>
      <c r="AV285" s="222">
        <f t="shared" ca="1" si="106"/>
        <v>0</v>
      </c>
      <c r="AW285" s="247">
        <f t="shared" si="82"/>
        <v>92</v>
      </c>
      <c r="AY285" s="239">
        <f ca="1">(AE285=5)*('  B  '!F$110=1)*OR(AND(AND(A285&gt;=S$220,A285&gt;=I$214),AND(A285&lt;=S$221,A285&lt;=I$215)),AND(AND(A285&gt;=S$230,A285&gt;=I$224),AND(A285&lt;=S$231,A285&lt;=I$225)),AND(AND(A285&gt;=S$240,A285&gt;=I$234),AND(A285&lt;=S$241,A285&lt;=I$235)))</f>
        <v>0</v>
      </c>
      <c r="BA285" s="222">
        <f t="shared" ca="1" si="107"/>
        <v>0</v>
      </c>
      <c r="BB285" s="55">
        <f t="shared" ca="1" si="83"/>
        <v>0</v>
      </c>
      <c r="BC285" s="247">
        <f t="shared" si="84"/>
        <v>182</v>
      </c>
      <c r="BE285" s="239">
        <f t="shared" ca="1" si="108"/>
        <v>0</v>
      </c>
      <c r="BG285" s="239">
        <f t="shared" ca="1" si="109"/>
        <v>0</v>
      </c>
      <c r="BI285" s="222"/>
      <c r="BJ285" s="137">
        <v>0</v>
      </c>
      <c r="BK285" s="137">
        <v>0</v>
      </c>
      <c r="BL285" s="137">
        <f t="shared" ca="1" si="85"/>
        <v>1</v>
      </c>
      <c r="BM285" s="137">
        <f t="shared" ca="1" si="110"/>
        <v>1</v>
      </c>
      <c r="BN285" s="137">
        <f ca="1">(A285&gt;=N_LFP_Startdatum)*IF('  B  '!F$110=1,NOT(OR(A285&gt;S$221,A285&gt;S$231,A285&gt;S$241)),IF(BB285&gt;BC285,0,1))</f>
        <v>1</v>
      </c>
      <c r="BO285" s="137">
        <f t="shared" ca="1" si="86"/>
        <v>1</v>
      </c>
      <c r="BP285" s="137">
        <v>0</v>
      </c>
      <c r="BQ285" s="137">
        <f t="shared" ca="1" si="87"/>
        <v>1</v>
      </c>
      <c r="BR285" s="653">
        <v>0</v>
      </c>
      <c r="BS285" s="224">
        <f ca="1">(A285&gt;=N_LFP_Startdatum)*IF('  B  '!F$110=1,NOT(OR(A285&gt;S$221,A285&gt;S$231,A285&gt;S$241)),IF(BB285&gt;BC285,0,1))</f>
        <v>1</v>
      </c>
      <c r="BU285" s="254">
        <f t="shared" ca="1" si="8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89"/>
        <v>0</v>
      </c>
      <c r="CA285" s="156">
        <f t="shared" ca="1" si="111"/>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12"/>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90"/>
        <v>0</v>
      </c>
      <c r="CL285" s="270">
        <f t="shared" ca="1" si="91"/>
        <v>0</v>
      </c>
      <c r="CM285" s="265">
        <f t="shared" ca="1" si="92"/>
        <v>0</v>
      </c>
      <c r="CO285" s="222"/>
      <c r="CP285" s="137">
        <v>0</v>
      </c>
      <c r="CQ285" s="137">
        <v>0</v>
      </c>
      <c r="CR285" s="137">
        <v>0</v>
      </c>
      <c r="CS285" s="137">
        <f t="shared" ca="1" si="93"/>
        <v>0</v>
      </c>
      <c r="CT285" s="137">
        <f t="shared" ca="1" si="94"/>
        <v>0</v>
      </c>
      <c r="CU285" s="137">
        <f t="shared" ca="1" si="95"/>
        <v>0</v>
      </c>
      <c r="CV285" s="137">
        <v>0</v>
      </c>
      <c r="CW285" s="137">
        <f t="shared" ca="1" si="96"/>
        <v>0</v>
      </c>
      <c r="CX285" s="137">
        <v>0</v>
      </c>
      <c r="CY285" s="224">
        <f t="shared" ca="1" si="97"/>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98"/>
        <v>0</v>
      </c>
      <c r="DF285" s="279">
        <f t="shared" ca="1" si="99"/>
        <v>0</v>
      </c>
      <c r="DG285" s="280">
        <f t="shared" ca="1" si="100"/>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3"/>
        <v>0</v>
      </c>
      <c r="DN285" s="279">
        <f t="shared" ca="1" si="114"/>
        <v>0</v>
      </c>
      <c r="DO285" s="279">
        <f t="shared" ca="1" si="115"/>
        <v>0</v>
      </c>
    </row>
    <row r="286" spans="1:119" x14ac:dyDescent="0.25">
      <c r="A286" s="153">
        <f>A285+1</f>
        <v>45314</v>
      </c>
      <c r="B286" s="154"/>
      <c r="C286" s="154"/>
      <c r="D286" s="154"/>
      <c r="E286" s="875" t="str">
        <f t="shared" ca="1" si="56"/>
        <v/>
      </c>
      <c r="F286" s="876"/>
      <c r="G286" s="667">
        <f t="shared" ca="1" si="101"/>
        <v>0</v>
      </c>
      <c r="H286" s="667">
        <f t="shared" ca="1" si="57"/>
        <v>0</v>
      </c>
      <c r="I286" s="667">
        <f t="shared" ca="1" si="58"/>
        <v>0</v>
      </c>
      <c r="P286" s="151">
        <f t="shared" si="59"/>
        <v>125</v>
      </c>
      <c r="R286" s="55">
        <f t="shared" si="60"/>
        <v>0</v>
      </c>
      <c r="S286" s="55">
        <f t="shared" si="102"/>
        <v>1</v>
      </c>
      <c r="U286" s="226">
        <f t="shared" si="61"/>
        <v>0</v>
      </c>
      <c r="V286" s="137">
        <f t="shared" ca="1" si="62"/>
        <v>0</v>
      </c>
      <c r="W286" s="137">
        <f t="shared" si="63"/>
        <v>0</v>
      </c>
      <c r="X286" s="137">
        <f t="shared" si="64"/>
        <v>0</v>
      </c>
      <c r="Y286" s="137">
        <f t="shared" ca="1" si="65"/>
        <v>0</v>
      </c>
      <c r="Z286" s="137">
        <f t="shared" ca="1" si="66"/>
        <v>0</v>
      </c>
      <c r="AA286" s="137">
        <f t="shared" ca="1" si="67"/>
        <v>0</v>
      </c>
      <c r="AB286" s="137">
        <f t="shared" ca="1" si="68"/>
        <v>0</v>
      </c>
      <c r="AC286" s="137">
        <f t="shared" ca="1" si="69"/>
        <v>0</v>
      </c>
      <c r="AD286" s="137">
        <f t="shared" ca="1" si="70"/>
        <v>0</v>
      </c>
      <c r="AE286" s="223">
        <f t="shared" ca="1" si="71"/>
        <v>0</v>
      </c>
      <c r="AF286" s="229" t="str">
        <f t="shared" ca="1" si="72"/>
        <v/>
      </c>
      <c r="AH286" s="235">
        <f t="shared" si="73"/>
        <v>45314</v>
      </c>
      <c r="AI286" s="137">
        <f t="shared" ca="1" si="74"/>
        <v>0</v>
      </c>
      <c r="AJ286" s="137">
        <f t="shared" si="75"/>
        <v>0</v>
      </c>
      <c r="AK286" s="137">
        <f t="shared" ca="1" si="103"/>
        <v>0</v>
      </c>
      <c r="AL286" s="137">
        <f t="shared" ca="1" si="104"/>
        <v>0</v>
      </c>
      <c r="AM286" s="137">
        <f t="shared" si="76"/>
        <v>0</v>
      </c>
      <c r="AN286" s="137">
        <f t="shared" ca="1" si="77"/>
        <v>0</v>
      </c>
      <c r="AO286" s="137">
        <f t="shared" ca="1" si="78"/>
        <v>0</v>
      </c>
      <c r="AP286" s="137">
        <f t="shared" ca="1" si="105"/>
        <v>0</v>
      </c>
      <c r="AQ286" s="137">
        <f t="shared" si="79"/>
        <v>0</v>
      </c>
      <c r="AR286" s="236">
        <f t="shared" ca="1" si="80"/>
        <v>0</v>
      </c>
      <c r="AT286" s="241">
        <f t="shared" ca="1" si="81"/>
        <v>28</v>
      </c>
      <c r="AV286" s="222">
        <f t="shared" ca="1" si="106"/>
        <v>0</v>
      </c>
      <c r="AW286" s="247">
        <f t="shared" si="82"/>
        <v>92</v>
      </c>
      <c r="AY286" s="239">
        <f ca="1">(AE286=5)*('  B  '!F$110=1)*OR(AND(AND(A286&gt;=S$220,A286&gt;=I$214),AND(A286&lt;=S$221,A286&lt;=I$215)),AND(AND(A286&gt;=S$230,A286&gt;=I$224),AND(A286&lt;=S$231,A286&lt;=I$225)),AND(AND(A286&gt;=S$240,A286&gt;=I$234),AND(A286&lt;=S$241,A286&lt;=I$235)))</f>
        <v>0</v>
      </c>
      <c r="BA286" s="222">
        <f t="shared" ca="1" si="107"/>
        <v>0</v>
      </c>
      <c r="BB286" s="55">
        <f t="shared" ca="1" si="83"/>
        <v>0</v>
      </c>
      <c r="BC286" s="247">
        <f t="shared" si="84"/>
        <v>182</v>
      </c>
      <c r="BE286" s="239">
        <f t="shared" ca="1" si="108"/>
        <v>0</v>
      </c>
      <c r="BG286" s="239">
        <f t="shared" ca="1" si="109"/>
        <v>0</v>
      </c>
      <c r="BI286" s="222"/>
      <c r="BJ286" s="137">
        <v>0</v>
      </c>
      <c r="BK286" s="137">
        <v>0</v>
      </c>
      <c r="BL286" s="137">
        <f t="shared" ca="1" si="85"/>
        <v>1</v>
      </c>
      <c r="BM286" s="137">
        <f t="shared" ca="1" si="110"/>
        <v>1</v>
      </c>
      <c r="BN286" s="137">
        <f ca="1">(A286&gt;=N_LFP_Startdatum)*IF('  B  '!F$110=1,NOT(OR(A286&gt;S$221,A286&gt;S$231,A286&gt;S$241)),IF(BB286&gt;BC286,0,1))</f>
        <v>1</v>
      </c>
      <c r="BO286" s="137">
        <f t="shared" ca="1" si="86"/>
        <v>1</v>
      </c>
      <c r="BP286" s="137">
        <v>0</v>
      </c>
      <c r="BQ286" s="137">
        <f t="shared" ca="1" si="87"/>
        <v>1</v>
      </c>
      <c r="BR286" s="653">
        <v>0</v>
      </c>
      <c r="BS286" s="224">
        <f ca="1">(A286&gt;=N_LFP_Startdatum)*IF('  B  '!F$110=1,NOT(OR(A286&gt;S$221,A286&gt;S$231,A286&gt;S$241)),IF(BB286&gt;BC286,0,1))</f>
        <v>1</v>
      </c>
      <c r="BU286" s="254">
        <f t="shared" ca="1" si="8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89"/>
        <v>0</v>
      </c>
      <c r="CA286" s="156">
        <f t="shared" ca="1" si="111"/>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12"/>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90"/>
        <v>0</v>
      </c>
      <c r="CL286" s="270">
        <f t="shared" ca="1" si="91"/>
        <v>0</v>
      </c>
      <c r="CM286" s="265">
        <f t="shared" ca="1" si="92"/>
        <v>0</v>
      </c>
      <c r="CO286" s="222"/>
      <c r="CP286" s="137">
        <v>0</v>
      </c>
      <c r="CQ286" s="137">
        <v>0</v>
      </c>
      <c r="CR286" s="137">
        <v>0</v>
      </c>
      <c r="CS286" s="137">
        <f t="shared" ca="1" si="93"/>
        <v>0</v>
      </c>
      <c r="CT286" s="137">
        <f t="shared" ca="1" si="94"/>
        <v>0</v>
      </c>
      <c r="CU286" s="137">
        <f t="shared" ca="1" si="95"/>
        <v>0</v>
      </c>
      <c r="CV286" s="137">
        <v>0</v>
      </c>
      <c r="CW286" s="137">
        <f t="shared" ca="1" si="96"/>
        <v>0</v>
      </c>
      <c r="CX286" s="137">
        <v>0</v>
      </c>
      <c r="CY286" s="224">
        <f t="shared" ca="1" si="97"/>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98"/>
        <v>0</v>
      </c>
      <c r="DF286" s="279">
        <f t="shared" ca="1" si="99"/>
        <v>0</v>
      </c>
      <c r="DG286" s="280">
        <f t="shared" ca="1" si="100"/>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3"/>
        <v>0</v>
      </c>
      <c r="DN286" s="279">
        <f t="shared" ca="1" si="114"/>
        <v>0</v>
      </c>
      <c r="DO286" s="279">
        <f t="shared" ca="1" si="115"/>
        <v>0</v>
      </c>
    </row>
    <row r="287" spans="1:119" x14ac:dyDescent="0.25">
      <c r="A287" s="153">
        <f t="shared" si="116"/>
        <v>45315</v>
      </c>
      <c r="B287" s="154"/>
      <c r="C287" s="154"/>
      <c r="D287" s="154"/>
      <c r="E287" s="875" t="str">
        <f t="shared" ca="1" si="56"/>
        <v/>
      </c>
      <c r="F287" s="876"/>
      <c r="G287" s="667">
        <f t="shared" ca="1" si="101"/>
        <v>0</v>
      </c>
      <c r="H287" s="667">
        <f t="shared" ca="1" si="57"/>
        <v>0</v>
      </c>
      <c r="I287" s="667">
        <f t="shared" ca="1" si="58"/>
        <v>0</v>
      </c>
      <c r="P287" s="151">
        <f t="shared" si="59"/>
        <v>125</v>
      </c>
      <c r="R287" s="55">
        <f t="shared" si="60"/>
        <v>0</v>
      </c>
      <c r="S287" s="55">
        <f t="shared" si="102"/>
        <v>1</v>
      </c>
      <c r="U287" s="226">
        <f t="shared" si="61"/>
        <v>0</v>
      </c>
      <c r="V287" s="137">
        <f t="shared" ca="1" si="62"/>
        <v>0</v>
      </c>
      <c r="W287" s="137">
        <f t="shared" si="63"/>
        <v>0</v>
      </c>
      <c r="X287" s="137">
        <f t="shared" si="64"/>
        <v>0</v>
      </c>
      <c r="Y287" s="137">
        <f t="shared" ca="1" si="65"/>
        <v>0</v>
      </c>
      <c r="Z287" s="137">
        <f t="shared" ca="1" si="66"/>
        <v>0</v>
      </c>
      <c r="AA287" s="137">
        <f t="shared" ca="1" si="67"/>
        <v>0</v>
      </c>
      <c r="AB287" s="137">
        <f t="shared" ca="1" si="68"/>
        <v>0</v>
      </c>
      <c r="AC287" s="137">
        <f t="shared" ca="1" si="69"/>
        <v>0</v>
      </c>
      <c r="AD287" s="137">
        <f t="shared" ca="1" si="70"/>
        <v>0</v>
      </c>
      <c r="AE287" s="223">
        <f t="shared" ca="1" si="71"/>
        <v>0</v>
      </c>
      <c r="AF287" s="229" t="str">
        <f t="shared" ca="1" si="72"/>
        <v/>
      </c>
      <c r="AH287" s="235">
        <f t="shared" si="73"/>
        <v>45315</v>
      </c>
      <c r="AI287" s="137">
        <f t="shared" ca="1" si="74"/>
        <v>0</v>
      </c>
      <c r="AJ287" s="137">
        <f t="shared" si="75"/>
        <v>0</v>
      </c>
      <c r="AK287" s="137">
        <f t="shared" ca="1" si="103"/>
        <v>0</v>
      </c>
      <c r="AL287" s="137">
        <f t="shared" ca="1" si="104"/>
        <v>0</v>
      </c>
      <c r="AM287" s="137">
        <f t="shared" si="76"/>
        <v>0</v>
      </c>
      <c r="AN287" s="137">
        <f t="shared" ca="1" si="77"/>
        <v>0</v>
      </c>
      <c r="AO287" s="137">
        <f t="shared" ca="1" si="78"/>
        <v>0</v>
      </c>
      <c r="AP287" s="137">
        <f t="shared" ca="1" si="105"/>
        <v>0</v>
      </c>
      <c r="AQ287" s="137">
        <f t="shared" si="79"/>
        <v>0</v>
      </c>
      <c r="AR287" s="236">
        <f t="shared" ca="1" si="80"/>
        <v>0</v>
      </c>
      <c r="AT287" s="241">
        <f t="shared" ca="1" si="81"/>
        <v>28</v>
      </c>
      <c r="AV287" s="222">
        <f t="shared" ca="1" si="106"/>
        <v>0</v>
      </c>
      <c r="AW287" s="247">
        <f t="shared" si="82"/>
        <v>92</v>
      </c>
      <c r="AY287" s="239">
        <f ca="1">(AE287=5)*('  B  '!F$110=1)*OR(AND(AND(A287&gt;=S$220,A287&gt;=I$214),AND(A287&lt;=S$221,A287&lt;=I$215)),AND(AND(A287&gt;=S$230,A287&gt;=I$224),AND(A287&lt;=S$231,A287&lt;=I$225)),AND(AND(A287&gt;=S$240,A287&gt;=I$234),AND(A287&lt;=S$241,A287&lt;=I$235)))</f>
        <v>0</v>
      </c>
      <c r="BA287" s="222">
        <f t="shared" ca="1" si="107"/>
        <v>0</v>
      </c>
      <c r="BB287" s="55">
        <f t="shared" ca="1" si="83"/>
        <v>0</v>
      </c>
      <c r="BC287" s="247">
        <f t="shared" si="84"/>
        <v>182</v>
      </c>
      <c r="BE287" s="239">
        <f t="shared" ca="1" si="108"/>
        <v>0</v>
      </c>
      <c r="BG287" s="239">
        <f t="shared" ca="1" si="109"/>
        <v>0</v>
      </c>
      <c r="BI287" s="222"/>
      <c r="BJ287" s="137">
        <v>0</v>
      </c>
      <c r="BK287" s="137">
        <v>0</v>
      </c>
      <c r="BL287" s="137">
        <f t="shared" ca="1" si="85"/>
        <v>1</v>
      </c>
      <c r="BM287" s="137">
        <f t="shared" ca="1" si="110"/>
        <v>1</v>
      </c>
      <c r="BN287" s="137">
        <f ca="1">(A287&gt;=N_LFP_Startdatum)*IF('  B  '!F$110=1,NOT(OR(A287&gt;S$221,A287&gt;S$231,A287&gt;S$241)),IF(BB287&gt;BC287,0,1))</f>
        <v>1</v>
      </c>
      <c r="BO287" s="137">
        <f t="shared" ca="1" si="86"/>
        <v>1</v>
      </c>
      <c r="BP287" s="137">
        <v>0</v>
      </c>
      <c r="BQ287" s="137">
        <f t="shared" ca="1" si="87"/>
        <v>1</v>
      </c>
      <c r="BR287" s="653">
        <v>0</v>
      </c>
      <c r="BS287" s="224">
        <f ca="1">(A287&gt;=N_LFP_Startdatum)*IF('  B  '!F$110=1,NOT(OR(A287&gt;S$221,A287&gt;S$231,A287&gt;S$241)),IF(BB287&gt;BC287,0,1))</f>
        <v>1</v>
      </c>
      <c r="BU287" s="254">
        <f t="shared" ca="1" si="8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89"/>
        <v>0</v>
      </c>
      <c r="CA287" s="156">
        <f t="shared" ca="1" si="111"/>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12"/>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90"/>
        <v>0</v>
      </c>
      <c r="CL287" s="270">
        <f t="shared" ca="1" si="91"/>
        <v>0</v>
      </c>
      <c r="CM287" s="265">
        <f t="shared" ca="1" si="92"/>
        <v>0</v>
      </c>
      <c r="CO287" s="222"/>
      <c r="CP287" s="137">
        <v>0</v>
      </c>
      <c r="CQ287" s="137">
        <v>0</v>
      </c>
      <c r="CR287" s="137">
        <v>0</v>
      </c>
      <c r="CS287" s="137">
        <f t="shared" ca="1" si="93"/>
        <v>0</v>
      </c>
      <c r="CT287" s="137">
        <f t="shared" ca="1" si="94"/>
        <v>0</v>
      </c>
      <c r="CU287" s="137">
        <f t="shared" ca="1" si="95"/>
        <v>0</v>
      </c>
      <c r="CV287" s="137">
        <v>0</v>
      </c>
      <c r="CW287" s="137">
        <f t="shared" ca="1" si="96"/>
        <v>0</v>
      </c>
      <c r="CX287" s="137">
        <v>0</v>
      </c>
      <c r="CY287" s="224">
        <f t="shared" ca="1" si="97"/>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98"/>
        <v>0</v>
      </c>
      <c r="DF287" s="279">
        <f t="shared" ca="1" si="99"/>
        <v>0</v>
      </c>
      <c r="DG287" s="280">
        <f t="shared" ca="1" si="100"/>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3"/>
        <v>0</v>
      </c>
      <c r="DN287" s="279">
        <f t="shared" ca="1" si="114"/>
        <v>0</v>
      </c>
      <c r="DO287" s="279">
        <f t="shared" ca="1" si="115"/>
        <v>0</v>
      </c>
    </row>
    <row r="288" spans="1:119" x14ac:dyDescent="0.25">
      <c r="A288" s="153">
        <f t="shared" si="116"/>
        <v>45316</v>
      </c>
      <c r="B288" s="154"/>
      <c r="C288" s="154"/>
      <c r="D288" s="154"/>
      <c r="E288" s="875" t="str">
        <f t="shared" ca="1" si="56"/>
        <v/>
      </c>
      <c r="F288" s="876"/>
      <c r="G288" s="667">
        <f t="shared" ca="1" si="101"/>
        <v>0</v>
      </c>
      <c r="H288" s="667">
        <f t="shared" ca="1" si="57"/>
        <v>0</v>
      </c>
      <c r="I288" s="667">
        <f t="shared" ca="1" si="58"/>
        <v>0</v>
      </c>
      <c r="P288" s="151">
        <f t="shared" si="59"/>
        <v>125</v>
      </c>
      <c r="R288" s="55">
        <f t="shared" si="60"/>
        <v>0</v>
      </c>
      <c r="S288" s="55">
        <f t="shared" si="102"/>
        <v>1</v>
      </c>
      <c r="U288" s="226">
        <f t="shared" si="61"/>
        <v>0</v>
      </c>
      <c r="V288" s="137">
        <f t="shared" ca="1" si="62"/>
        <v>0</v>
      </c>
      <c r="W288" s="137">
        <f t="shared" si="63"/>
        <v>0</v>
      </c>
      <c r="X288" s="137">
        <f t="shared" si="64"/>
        <v>0</v>
      </c>
      <c r="Y288" s="137">
        <f t="shared" ca="1" si="65"/>
        <v>0</v>
      </c>
      <c r="Z288" s="137">
        <f t="shared" ca="1" si="66"/>
        <v>0</v>
      </c>
      <c r="AA288" s="137">
        <f t="shared" ca="1" si="67"/>
        <v>0</v>
      </c>
      <c r="AB288" s="137">
        <f t="shared" ca="1" si="68"/>
        <v>0</v>
      </c>
      <c r="AC288" s="137">
        <f t="shared" ca="1" si="69"/>
        <v>0</v>
      </c>
      <c r="AD288" s="137">
        <f t="shared" ca="1" si="70"/>
        <v>0</v>
      </c>
      <c r="AE288" s="223">
        <f t="shared" ca="1" si="71"/>
        <v>0</v>
      </c>
      <c r="AF288" s="229" t="str">
        <f t="shared" ca="1" si="72"/>
        <v/>
      </c>
      <c r="AH288" s="235">
        <f t="shared" si="73"/>
        <v>45316</v>
      </c>
      <c r="AI288" s="137">
        <f t="shared" ca="1" si="74"/>
        <v>0</v>
      </c>
      <c r="AJ288" s="137">
        <f t="shared" si="75"/>
        <v>0</v>
      </c>
      <c r="AK288" s="137">
        <f t="shared" ca="1" si="103"/>
        <v>0</v>
      </c>
      <c r="AL288" s="137">
        <f t="shared" ca="1" si="104"/>
        <v>0</v>
      </c>
      <c r="AM288" s="137">
        <f t="shared" si="76"/>
        <v>0</v>
      </c>
      <c r="AN288" s="137">
        <f t="shared" ca="1" si="77"/>
        <v>0</v>
      </c>
      <c r="AO288" s="137">
        <f t="shared" ca="1" si="78"/>
        <v>0</v>
      </c>
      <c r="AP288" s="137">
        <f t="shared" ca="1" si="105"/>
        <v>0</v>
      </c>
      <c r="AQ288" s="137">
        <f t="shared" si="79"/>
        <v>0</v>
      </c>
      <c r="AR288" s="236">
        <f t="shared" ca="1" si="80"/>
        <v>0</v>
      </c>
      <c r="AT288" s="241">
        <f t="shared" ca="1" si="81"/>
        <v>28</v>
      </c>
      <c r="AV288" s="222">
        <f t="shared" ca="1" si="106"/>
        <v>0</v>
      </c>
      <c r="AW288" s="247">
        <f t="shared" si="82"/>
        <v>92</v>
      </c>
      <c r="AY288" s="239">
        <f ca="1">(AE288=5)*('  B  '!F$110=1)*OR(AND(AND(A288&gt;=S$220,A288&gt;=I$214),AND(A288&lt;=S$221,A288&lt;=I$215)),AND(AND(A288&gt;=S$230,A288&gt;=I$224),AND(A288&lt;=S$231,A288&lt;=I$225)),AND(AND(A288&gt;=S$240,A288&gt;=I$234),AND(A288&lt;=S$241,A288&lt;=I$235)))</f>
        <v>0</v>
      </c>
      <c r="BA288" s="222">
        <f t="shared" ca="1" si="107"/>
        <v>0</v>
      </c>
      <c r="BB288" s="55">
        <f t="shared" ca="1" si="83"/>
        <v>0</v>
      </c>
      <c r="BC288" s="247">
        <f t="shared" si="84"/>
        <v>182</v>
      </c>
      <c r="BE288" s="239">
        <f t="shared" ca="1" si="108"/>
        <v>0</v>
      </c>
      <c r="BG288" s="239">
        <f t="shared" ca="1" si="109"/>
        <v>0</v>
      </c>
      <c r="BI288" s="222"/>
      <c r="BJ288" s="137">
        <v>0</v>
      </c>
      <c r="BK288" s="137">
        <v>0</v>
      </c>
      <c r="BL288" s="137">
        <f t="shared" ca="1" si="85"/>
        <v>1</v>
      </c>
      <c r="BM288" s="137">
        <f t="shared" ca="1" si="110"/>
        <v>1</v>
      </c>
      <c r="BN288" s="137">
        <f ca="1">(A288&gt;=N_LFP_Startdatum)*IF('  B  '!F$110=1,NOT(OR(A288&gt;S$221,A288&gt;S$231,A288&gt;S$241)),IF(BB288&gt;BC288,0,1))</f>
        <v>1</v>
      </c>
      <c r="BO288" s="137">
        <f t="shared" ca="1" si="86"/>
        <v>1</v>
      </c>
      <c r="BP288" s="137">
        <v>0</v>
      </c>
      <c r="BQ288" s="137">
        <f t="shared" ca="1" si="87"/>
        <v>1</v>
      </c>
      <c r="BR288" s="653">
        <v>0</v>
      </c>
      <c r="BS288" s="224">
        <f ca="1">(A288&gt;=N_LFP_Startdatum)*IF('  B  '!F$110=1,NOT(OR(A288&gt;S$221,A288&gt;S$231,A288&gt;S$241)),IF(BB288&gt;BC288,0,1))</f>
        <v>1</v>
      </c>
      <c r="BU288" s="254">
        <f t="shared" ca="1" si="8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89"/>
        <v>0</v>
      </c>
      <c r="CA288" s="156">
        <f t="shared" ca="1" si="111"/>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12"/>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90"/>
        <v>0</v>
      </c>
      <c r="CL288" s="270">
        <f t="shared" ca="1" si="91"/>
        <v>0</v>
      </c>
      <c r="CM288" s="265">
        <f t="shared" ca="1" si="92"/>
        <v>0</v>
      </c>
      <c r="CO288" s="222"/>
      <c r="CP288" s="137">
        <v>0</v>
      </c>
      <c r="CQ288" s="137">
        <v>0</v>
      </c>
      <c r="CR288" s="137">
        <v>0</v>
      </c>
      <c r="CS288" s="137">
        <f t="shared" ca="1" si="93"/>
        <v>0</v>
      </c>
      <c r="CT288" s="137">
        <f t="shared" ca="1" si="94"/>
        <v>0</v>
      </c>
      <c r="CU288" s="137">
        <f t="shared" ca="1" si="95"/>
        <v>0</v>
      </c>
      <c r="CV288" s="137">
        <v>0</v>
      </c>
      <c r="CW288" s="137">
        <f t="shared" ca="1" si="96"/>
        <v>0</v>
      </c>
      <c r="CX288" s="137">
        <v>0</v>
      </c>
      <c r="CY288" s="224">
        <f t="shared" ca="1" si="97"/>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98"/>
        <v>0</v>
      </c>
      <c r="DF288" s="279">
        <f t="shared" ca="1" si="99"/>
        <v>0</v>
      </c>
      <c r="DG288" s="280">
        <f t="shared" ca="1" si="100"/>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3"/>
        <v>0</v>
      </c>
      <c r="DN288" s="279">
        <f t="shared" ca="1" si="114"/>
        <v>0</v>
      </c>
      <c r="DO288" s="279">
        <f t="shared" ca="1" si="115"/>
        <v>0</v>
      </c>
    </row>
    <row r="289" spans="1:119" x14ac:dyDescent="0.25">
      <c r="A289" s="153">
        <f t="shared" si="116"/>
        <v>45317</v>
      </c>
      <c r="B289" s="154"/>
      <c r="C289" s="154"/>
      <c r="D289" s="154"/>
      <c r="E289" s="875" t="str">
        <f t="shared" ca="1" si="56"/>
        <v/>
      </c>
      <c r="F289" s="876"/>
      <c r="G289" s="667">
        <f t="shared" ca="1" si="101"/>
        <v>0</v>
      </c>
      <c r="H289" s="667">
        <f t="shared" ca="1" si="57"/>
        <v>0</v>
      </c>
      <c r="I289" s="667">
        <f t="shared" ca="1" si="58"/>
        <v>0</v>
      </c>
      <c r="P289" s="151">
        <f t="shared" si="59"/>
        <v>125</v>
      </c>
      <c r="R289" s="55">
        <f t="shared" si="60"/>
        <v>0</v>
      </c>
      <c r="S289" s="55">
        <f t="shared" si="102"/>
        <v>1</v>
      </c>
      <c r="U289" s="226">
        <f t="shared" si="61"/>
        <v>0</v>
      </c>
      <c r="V289" s="137">
        <f t="shared" ca="1" si="62"/>
        <v>0</v>
      </c>
      <c r="W289" s="137">
        <f t="shared" si="63"/>
        <v>0</v>
      </c>
      <c r="X289" s="137">
        <f t="shared" si="64"/>
        <v>0</v>
      </c>
      <c r="Y289" s="137">
        <f t="shared" ca="1" si="65"/>
        <v>0</v>
      </c>
      <c r="Z289" s="137">
        <f t="shared" ca="1" si="66"/>
        <v>0</v>
      </c>
      <c r="AA289" s="137">
        <f t="shared" ca="1" si="67"/>
        <v>0</v>
      </c>
      <c r="AB289" s="137">
        <f t="shared" ca="1" si="68"/>
        <v>0</v>
      </c>
      <c r="AC289" s="137">
        <f t="shared" ca="1" si="69"/>
        <v>0</v>
      </c>
      <c r="AD289" s="137">
        <f t="shared" ca="1" si="70"/>
        <v>0</v>
      </c>
      <c r="AE289" s="223">
        <f t="shared" ca="1" si="71"/>
        <v>0</v>
      </c>
      <c r="AF289" s="229" t="str">
        <f t="shared" ca="1" si="72"/>
        <v/>
      </c>
      <c r="AH289" s="235">
        <f t="shared" si="73"/>
        <v>45317</v>
      </c>
      <c r="AI289" s="137">
        <f t="shared" ca="1" si="74"/>
        <v>0</v>
      </c>
      <c r="AJ289" s="137">
        <f t="shared" si="75"/>
        <v>0</v>
      </c>
      <c r="AK289" s="137">
        <f t="shared" ca="1" si="103"/>
        <v>0</v>
      </c>
      <c r="AL289" s="137">
        <f t="shared" ca="1" si="104"/>
        <v>0</v>
      </c>
      <c r="AM289" s="137">
        <f t="shared" si="76"/>
        <v>0</v>
      </c>
      <c r="AN289" s="137">
        <f t="shared" ca="1" si="77"/>
        <v>0</v>
      </c>
      <c r="AO289" s="137">
        <f t="shared" ca="1" si="78"/>
        <v>0</v>
      </c>
      <c r="AP289" s="137">
        <f t="shared" ca="1" si="105"/>
        <v>0</v>
      </c>
      <c r="AQ289" s="137">
        <f t="shared" si="79"/>
        <v>0</v>
      </c>
      <c r="AR289" s="236">
        <f t="shared" ca="1" si="80"/>
        <v>0</v>
      </c>
      <c r="AT289" s="241">
        <f t="shared" ca="1" si="81"/>
        <v>28</v>
      </c>
      <c r="AV289" s="222">
        <f t="shared" ca="1" si="106"/>
        <v>0</v>
      </c>
      <c r="AW289" s="247">
        <f t="shared" si="82"/>
        <v>92</v>
      </c>
      <c r="AY289" s="239">
        <f ca="1">(AE289=5)*('  B  '!F$110=1)*OR(AND(AND(A289&gt;=S$220,A289&gt;=I$214),AND(A289&lt;=S$221,A289&lt;=I$215)),AND(AND(A289&gt;=S$230,A289&gt;=I$224),AND(A289&lt;=S$231,A289&lt;=I$225)),AND(AND(A289&gt;=S$240,A289&gt;=I$234),AND(A289&lt;=S$241,A289&lt;=I$235)))</f>
        <v>0</v>
      </c>
      <c r="BA289" s="222">
        <f t="shared" ca="1" si="107"/>
        <v>0</v>
      </c>
      <c r="BB289" s="55">
        <f t="shared" ca="1" si="83"/>
        <v>0</v>
      </c>
      <c r="BC289" s="247">
        <f t="shared" si="84"/>
        <v>182</v>
      </c>
      <c r="BE289" s="239">
        <f t="shared" ca="1" si="108"/>
        <v>0</v>
      </c>
      <c r="BG289" s="239">
        <f t="shared" ca="1" si="109"/>
        <v>0</v>
      </c>
      <c r="BI289" s="222"/>
      <c r="BJ289" s="137">
        <v>0</v>
      </c>
      <c r="BK289" s="137">
        <v>0</v>
      </c>
      <c r="BL289" s="137">
        <f t="shared" ca="1" si="85"/>
        <v>1</v>
      </c>
      <c r="BM289" s="137">
        <f t="shared" ca="1" si="110"/>
        <v>1</v>
      </c>
      <c r="BN289" s="137">
        <f ca="1">(A289&gt;=N_LFP_Startdatum)*IF('  B  '!F$110=1,NOT(OR(A289&gt;S$221,A289&gt;S$231,A289&gt;S$241)),IF(BB289&gt;BC289,0,1))</f>
        <v>1</v>
      </c>
      <c r="BO289" s="137">
        <f t="shared" ca="1" si="86"/>
        <v>1</v>
      </c>
      <c r="BP289" s="137">
        <v>0</v>
      </c>
      <c r="BQ289" s="137">
        <f t="shared" ca="1" si="87"/>
        <v>1</v>
      </c>
      <c r="BR289" s="653">
        <v>0</v>
      </c>
      <c r="BS289" s="224">
        <f ca="1">(A289&gt;=N_LFP_Startdatum)*IF('  B  '!F$110=1,NOT(OR(A289&gt;S$221,A289&gt;S$231,A289&gt;S$241)),IF(BB289&gt;BC289,0,1))</f>
        <v>1</v>
      </c>
      <c r="BU289" s="254">
        <f t="shared" ca="1" si="8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89"/>
        <v>0</v>
      </c>
      <c r="CA289" s="156">
        <f t="shared" ca="1" si="111"/>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12"/>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90"/>
        <v>0</v>
      </c>
      <c r="CL289" s="270">
        <f t="shared" ca="1" si="91"/>
        <v>0</v>
      </c>
      <c r="CM289" s="265">
        <f t="shared" ca="1" si="92"/>
        <v>0</v>
      </c>
      <c r="CO289" s="222"/>
      <c r="CP289" s="137">
        <v>0</v>
      </c>
      <c r="CQ289" s="137">
        <v>0</v>
      </c>
      <c r="CR289" s="137">
        <v>0</v>
      </c>
      <c r="CS289" s="137">
        <f t="shared" ca="1" si="93"/>
        <v>0</v>
      </c>
      <c r="CT289" s="137">
        <f t="shared" ca="1" si="94"/>
        <v>0</v>
      </c>
      <c r="CU289" s="137">
        <f t="shared" ca="1" si="95"/>
        <v>0</v>
      </c>
      <c r="CV289" s="137">
        <v>0</v>
      </c>
      <c r="CW289" s="137">
        <f t="shared" ca="1" si="96"/>
        <v>0</v>
      </c>
      <c r="CX289" s="137">
        <v>0</v>
      </c>
      <c r="CY289" s="224">
        <f t="shared" ca="1" si="97"/>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98"/>
        <v>0</v>
      </c>
      <c r="DF289" s="279">
        <f t="shared" ca="1" si="99"/>
        <v>0</v>
      </c>
      <c r="DG289" s="280">
        <f t="shared" ca="1" si="100"/>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3"/>
        <v>0</v>
      </c>
      <c r="DN289" s="279">
        <f t="shared" ca="1" si="114"/>
        <v>0</v>
      </c>
      <c r="DO289" s="279">
        <f t="shared" ca="1" si="115"/>
        <v>0</v>
      </c>
    </row>
    <row r="290" spans="1:119" x14ac:dyDescent="0.25">
      <c r="A290" s="153">
        <f t="shared" si="116"/>
        <v>45318</v>
      </c>
      <c r="B290" s="154"/>
      <c r="C290" s="154"/>
      <c r="D290" s="154"/>
      <c r="E290" s="875" t="str">
        <f t="shared" ca="1" si="56"/>
        <v/>
      </c>
      <c r="F290" s="876"/>
      <c r="G290" s="667">
        <f t="shared" ca="1" si="101"/>
        <v>0</v>
      </c>
      <c r="H290" s="667">
        <f t="shared" ca="1" si="57"/>
        <v>0</v>
      </c>
      <c r="I290" s="667">
        <f t="shared" ca="1" si="58"/>
        <v>0</v>
      </c>
      <c r="P290" s="151">
        <f t="shared" si="59"/>
        <v>125</v>
      </c>
      <c r="R290" s="55">
        <f t="shared" si="60"/>
        <v>0</v>
      </c>
      <c r="S290" s="55">
        <f t="shared" si="102"/>
        <v>1</v>
      </c>
      <c r="U290" s="226">
        <f t="shared" si="61"/>
        <v>0</v>
      </c>
      <c r="V290" s="137">
        <f t="shared" ca="1" si="62"/>
        <v>0</v>
      </c>
      <c r="W290" s="137">
        <f t="shared" si="63"/>
        <v>0</v>
      </c>
      <c r="X290" s="137">
        <f t="shared" si="64"/>
        <v>0</v>
      </c>
      <c r="Y290" s="137">
        <f t="shared" ca="1" si="65"/>
        <v>0</v>
      </c>
      <c r="Z290" s="137">
        <f t="shared" ca="1" si="66"/>
        <v>0</v>
      </c>
      <c r="AA290" s="137">
        <f t="shared" ca="1" si="67"/>
        <v>0</v>
      </c>
      <c r="AB290" s="137">
        <f t="shared" ca="1" si="68"/>
        <v>0</v>
      </c>
      <c r="AC290" s="137">
        <f t="shared" ca="1" si="69"/>
        <v>0</v>
      </c>
      <c r="AD290" s="137">
        <f t="shared" ca="1" si="70"/>
        <v>0</v>
      </c>
      <c r="AE290" s="223">
        <f t="shared" ca="1" si="71"/>
        <v>0</v>
      </c>
      <c r="AF290" s="229" t="str">
        <f t="shared" ca="1" si="72"/>
        <v/>
      </c>
      <c r="AH290" s="235">
        <f t="shared" si="73"/>
        <v>45318</v>
      </c>
      <c r="AI290" s="137">
        <f t="shared" ca="1" si="74"/>
        <v>0</v>
      </c>
      <c r="AJ290" s="137">
        <f t="shared" si="75"/>
        <v>0</v>
      </c>
      <c r="AK290" s="137">
        <f t="shared" ca="1" si="103"/>
        <v>0</v>
      </c>
      <c r="AL290" s="137">
        <f t="shared" ca="1" si="104"/>
        <v>0</v>
      </c>
      <c r="AM290" s="137">
        <f t="shared" si="76"/>
        <v>0</v>
      </c>
      <c r="AN290" s="137">
        <f t="shared" ca="1" si="77"/>
        <v>0</v>
      </c>
      <c r="AO290" s="137">
        <f t="shared" ca="1" si="78"/>
        <v>0</v>
      </c>
      <c r="AP290" s="137">
        <f t="shared" ca="1" si="105"/>
        <v>0</v>
      </c>
      <c r="AQ290" s="137">
        <f t="shared" si="79"/>
        <v>0</v>
      </c>
      <c r="AR290" s="236">
        <f t="shared" ca="1" si="80"/>
        <v>0</v>
      </c>
      <c r="AT290" s="241">
        <f t="shared" ca="1" si="81"/>
        <v>28</v>
      </c>
      <c r="AV290" s="222">
        <f t="shared" ca="1" si="106"/>
        <v>0</v>
      </c>
      <c r="AW290" s="247">
        <f t="shared" si="82"/>
        <v>92</v>
      </c>
      <c r="AY290" s="239">
        <f ca="1">(AE290=5)*('  B  '!F$110=1)*OR(AND(AND(A290&gt;=S$220,A290&gt;=I$214),AND(A290&lt;=S$221,A290&lt;=I$215)),AND(AND(A290&gt;=S$230,A290&gt;=I$224),AND(A290&lt;=S$231,A290&lt;=I$225)),AND(AND(A290&gt;=S$240,A290&gt;=I$234),AND(A290&lt;=S$241,A290&lt;=I$235)))</f>
        <v>0</v>
      </c>
      <c r="BA290" s="222">
        <f t="shared" ca="1" si="107"/>
        <v>0</v>
      </c>
      <c r="BB290" s="55">
        <f t="shared" ca="1" si="83"/>
        <v>0</v>
      </c>
      <c r="BC290" s="247">
        <f t="shared" si="84"/>
        <v>182</v>
      </c>
      <c r="BE290" s="239">
        <f t="shared" ca="1" si="108"/>
        <v>0</v>
      </c>
      <c r="BG290" s="239">
        <f t="shared" ca="1" si="109"/>
        <v>0</v>
      </c>
      <c r="BI290" s="222"/>
      <c r="BJ290" s="137">
        <v>0</v>
      </c>
      <c r="BK290" s="137">
        <v>0</v>
      </c>
      <c r="BL290" s="137">
        <f t="shared" ca="1" si="85"/>
        <v>1</v>
      </c>
      <c r="BM290" s="137">
        <f t="shared" ca="1" si="110"/>
        <v>1</v>
      </c>
      <c r="BN290" s="137">
        <f ca="1">(A290&gt;=N_LFP_Startdatum)*IF('  B  '!F$110=1,NOT(OR(A290&gt;S$221,A290&gt;S$231,A290&gt;S$241)),IF(BB290&gt;BC290,0,1))</f>
        <v>1</v>
      </c>
      <c r="BO290" s="137">
        <f t="shared" ca="1" si="86"/>
        <v>1</v>
      </c>
      <c r="BP290" s="137">
        <v>0</v>
      </c>
      <c r="BQ290" s="137">
        <f t="shared" ca="1" si="87"/>
        <v>1</v>
      </c>
      <c r="BR290" s="653">
        <v>0</v>
      </c>
      <c r="BS290" s="224">
        <f ca="1">(A290&gt;=N_LFP_Startdatum)*IF('  B  '!F$110=1,NOT(OR(A290&gt;S$221,A290&gt;S$231,A290&gt;S$241)),IF(BB290&gt;BC290,0,1))</f>
        <v>1</v>
      </c>
      <c r="BU290" s="254">
        <f t="shared" ca="1" si="8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89"/>
        <v>0</v>
      </c>
      <c r="CA290" s="156">
        <f t="shared" ca="1" si="111"/>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12"/>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90"/>
        <v>0</v>
      </c>
      <c r="CL290" s="270">
        <f t="shared" ca="1" si="91"/>
        <v>0</v>
      </c>
      <c r="CM290" s="265">
        <f t="shared" ca="1" si="92"/>
        <v>0</v>
      </c>
      <c r="CO290" s="222"/>
      <c r="CP290" s="137">
        <v>0</v>
      </c>
      <c r="CQ290" s="137">
        <v>0</v>
      </c>
      <c r="CR290" s="137">
        <v>0</v>
      </c>
      <c r="CS290" s="137">
        <f t="shared" ca="1" si="93"/>
        <v>0</v>
      </c>
      <c r="CT290" s="137">
        <f t="shared" ca="1" si="94"/>
        <v>0</v>
      </c>
      <c r="CU290" s="137">
        <f t="shared" ca="1" si="95"/>
        <v>0</v>
      </c>
      <c r="CV290" s="137">
        <v>0</v>
      </c>
      <c r="CW290" s="137">
        <f t="shared" ca="1" si="96"/>
        <v>0</v>
      </c>
      <c r="CX290" s="137">
        <v>0</v>
      </c>
      <c r="CY290" s="224">
        <f t="shared" ca="1" si="97"/>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98"/>
        <v>0</v>
      </c>
      <c r="DF290" s="279">
        <f t="shared" ca="1" si="99"/>
        <v>0</v>
      </c>
      <c r="DG290" s="280">
        <f t="shared" ca="1" si="100"/>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3"/>
        <v>0</v>
      </c>
      <c r="DN290" s="279">
        <f t="shared" ca="1" si="114"/>
        <v>0</v>
      </c>
      <c r="DO290" s="279">
        <f t="shared" ca="1" si="115"/>
        <v>0</v>
      </c>
    </row>
    <row r="291" spans="1:119" x14ac:dyDescent="0.25">
      <c r="A291" s="153">
        <f t="shared" si="116"/>
        <v>45319</v>
      </c>
      <c r="B291" s="154"/>
      <c r="C291" s="154"/>
      <c r="D291" s="154"/>
      <c r="E291" s="875" t="str">
        <f t="shared" ca="1" si="56"/>
        <v/>
      </c>
      <c r="F291" s="876"/>
      <c r="G291" s="667">
        <f t="shared" ca="1" si="101"/>
        <v>0</v>
      </c>
      <c r="H291" s="667">
        <f t="shared" ca="1" si="57"/>
        <v>0</v>
      </c>
      <c r="I291" s="667">
        <f t="shared" ca="1" si="58"/>
        <v>0</v>
      </c>
      <c r="P291" s="151">
        <f t="shared" si="59"/>
        <v>125</v>
      </c>
      <c r="R291" s="55">
        <f t="shared" si="60"/>
        <v>0</v>
      </c>
      <c r="S291" s="55">
        <f t="shared" si="102"/>
        <v>1</v>
      </c>
      <c r="U291" s="226">
        <f t="shared" si="61"/>
        <v>0</v>
      </c>
      <c r="V291" s="137">
        <f t="shared" ca="1" si="62"/>
        <v>0</v>
      </c>
      <c r="W291" s="137">
        <f t="shared" si="63"/>
        <v>0</v>
      </c>
      <c r="X291" s="137">
        <f t="shared" si="64"/>
        <v>0</v>
      </c>
      <c r="Y291" s="137">
        <f t="shared" ca="1" si="65"/>
        <v>0</v>
      </c>
      <c r="Z291" s="137">
        <f t="shared" ca="1" si="66"/>
        <v>0</v>
      </c>
      <c r="AA291" s="137">
        <f t="shared" ca="1" si="67"/>
        <v>0</v>
      </c>
      <c r="AB291" s="137">
        <f t="shared" ca="1" si="68"/>
        <v>0</v>
      </c>
      <c r="AC291" s="137">
        <f t="shared" ca="1" si="69"/>
        <v>0</v>
      </c>
      <c r="AD291" s="137">
        <f t="shared" ca="1" si="70"/>
        <v>0</v>
      </c>
      <c r="AE291" s="223">
        <f t="shared" ca="1" si="71"/>
        <v>0</v>
      </c>
      <c r="AF291" s="229" t="str">
        <f t="shared" ca="1" si="72"/>
        <v/>
      </c>
      <c r="AH291" s="235">
        <f t="shared" si="73"/>
        <v>45319</v>
      </c>
      <c r="AI291" s="137">
        <f t="shared" ca="1" si="74"/>
        <v>0</v>
      </c>
      <c r="AJ291" s="137">
        <f t="shared" si="75"/>
        <v>0</v>
      </c>
      <c r="AK291" s="137">
        <f t="shared" ca="1" si="103"/>
        <v>0</v>
      </c>
      <c r="AL291" s="137">
        <f t="shared" ca="1" si="104"/>
        <v>0</v>
      </c>
      <c r="AM291" s="137">
        <f t="shared" si="76"/>
        <v>0</v>
      </c>
      <c r="AN291" s="137">
        <f t="shared" ca="1" si="77"/>
        <v>0</v>
      </c>
      <c r="AO291" s="137">
        <f t="shared" ca="1" si="78"/>
        <v>0</v>
      </c>
      <c r="AP291" s="137">
        <f t="shared" ca="1" si="105"/>
        <v>0</v>
      </c>
      <c r="AQ291" s="137">
        <f t="shared" si="79"/>
        <v>0</v>
      </c>
      <c r="AR291" s="236">
        <f t="shared" ca="1" si="80"/>
        <v>0</v>
      </c>
      <c r="AT291" s="241">
        <f t="shared" ca="1" si="81"/>
        <v>28</v>
      </c>
      <c r="AV291" s="222">
        <f t="shared" ca="1" si="106"/>
        <v>0</v>
      </c>
      <c r="AW291" s="247">
        <f t="shared" si="82"/>
        <v>92</v>
      </c>
      <c r="AY291" s="239">
        <f ca="1">(AE291=5)*('  B  '!F$110=1)*OR(AND(AND(A291&gt;=S$220,A291&gt;=I$214),AND(A291&lt;=S$221,A291&lt;=I$215)),AND(AND(A291&gt;=S$230,A291&gt;=I$224),AND(A291&lt;=S$231,A291&lt;=I$225)),AND(AND(A291&gt;=S$240,A291&gt;=I$234),AND(A291&lt;=S$241,A291&lt;=I$235)))</f>
        <v>0</v>
      </c>
      <c r="BA291" s="222">
        <f t="shared" ca="1" si="107"/>
        <v>0</v>
      </c>
      <c r="BB291" s="55">
        <f t="shared" ca="1" si="83"/>
        <v>0</v>
      </c>
      <c r="BC291" s="247">
        <f t="shared" si="84"/>
        <v>182</v>
      </c>
      <c r="BE291" s="239">
        <f t="shared" ca="1" si="108"/>
        <v>0</v>
      </c>
      <c r="BG291" s="239">
        <f t="shared" ca="1" si="109"/>
        <v>0</v>
      </c>
      <c r="BI291" s="222"/>
      <c r="BJ291" s="137">
        <v>0</v>
      </c>
      <c r="BK291" s="137">
        <v>0</v>
      </c>
      <c r="BL291" s="137">
        <f t="shared" ca="1" si="85"/>
        <v>1</v>
      </c>
      <c r="BM291" s="137">
        <f t="shared" ca="1" si="110"/>
        <v>1</v>
      </c>
      <c r="BN291" s="137">
        <f ca="1">(A291&gt;=N_LFP_Startdatum)*IF('  B  '!F$110=1,NOT(OR(A291&gt;S$221,A291&gt;S$231,A291&gt;S$241)),IF(BB291&gt;BC291,0,1))</f>
        <v>1</v>
      </c>
      <c r="BO291" s="137">
        <f t="shared" ca="1" si="86"/>
        <v>1</v>
      </c>
      <c r="BP291" s="137">
        <v>0</v>
      </c>
      <c r="BQ291" s="137">
        <f t="shared" ca="1" si="87"/>
        <v>1</v>
      </c>
      <c r="BR291" s="653">
        <v>0</v>
      </c>
      <c r="BS291" s="224">
        <f ca="1">(A291&gt;=N_LFP_Startdatum)*IF('  B  '!F$110=1,NOT(OR(A291&gt;S$221,A291&gt;S$231,A291&gt;S$241)),IF(BB291&gt;BC291,0,1))</f>
        <v>1</v>
      </c>
      <c r="BU291" s="254">
        <f t="shared" ca="1" si="8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89"/>
        <v>0</v>
      </c>
      <c r="CA291" s="156">
        <f t="shared" ca="1" si="111"/>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12"/>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90"/>
        <v>0</v>
      </c>
      <c r="CL291" s="270">
        <f t="shared" ca="1" si="91"/>
        <v>0</v>
      </c>
      <c r="CM291" s="265">
        <f t="shared" ca="1" si="92"/>
        <v>0</v>
      </c>
      <c r="CO291" s="222"/>
      <c r="CP291" s="137">
        <v>0</v>
      </c>
      <c r="CQ291" s="137">
        <v>0</v>
      </c>
      <c r="CR291" s="137">
        <v>0</v>
      </c>
      <c r="CS291" s="137">
        <f t="shared" ca="1" si="93"/>
        <v>0</v>
      </c>
      <c r="CT291" s="137">
        <f t="shared" ca="1" si="94"/>
        <v>0</v>
      </c>
      <c r="CU291" s="137">
        <f t="shared" ca="1" si="95"/>
        <v>0</v>
      </c>
      <c r="CV291" s="137">
        <v>0</v>
      </c>
      <c r="CW291" s="137">
        <f t="shared" ca="1" si="96"/>
        <v>0</v>
      </c>
      <c r="CX291" s="137">
        <v>0</v>
      </c>
      <c r="CY291" s="224">
        <f t="shared" ca="1" si="97"/>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98"/>
        <v>0</v>
      </c>
      <c r="DF291" s="279">
        <f t="shared" ca="1" si="99"/>
        <v>0</v>
      </c>
      <c r="DG291" s="280">
        <f t="shared" ca="1" si="100"/>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3"/>
        <v>0</v>
      </c>
      <c r="DN291" s="279">
        <f t="shared" ca="1" si="114"/>
        <v>0</v>
      </c>
      <c r="DO291" s="279">
        <f t="shared" ca="1" si="115"/>
        <v>0</v>
      </c>
    </row>
    <row r="292" spans="1:119" x14ac:dyDescent="0.25">
      <c r="A292" s="153">
        <f>A291+1</f>
        <v>45320</v>
      </c>
      <c r="B292" s="154"/>
      <c r="C292" s="154"/>
      <c r="D292" s="154"/>
      <c r="E292" s="875" t="str">
        <f t="shared" ca="1" si="56"/>
        <v/>
      </c>
      <c r="F292" s="876"/>
      <c r="G292" s="667">
        <f t="shared" ca="1" si="101"/>
        <v>0</v>
      </c>
      <c r="H292" s="667">
        <f t="shared" ca="1" si="57"/>
        <v>0</v>
      </c>
      <c r="I292" s="667">
        <f t="shared" ca="1" si="58"/>
        <v>0</v>
      </c>
      <c r="P292" s="151">
        <f t="shared" si="59"/>
        <v>125</v>
      </c>
      <c r="R292" s="55">
        <f t="shared" si="60"/>
        <v>0</v>
      </c>
      <c r="S292" s="55">
        <f t="shared" si="102"/>
        <v>1</v>
      </c>
      <c r="U292" s="226">
        <f t="shared" si="61"/>
        <v>0</v>
      </c>
      <c r="V292" s="137">
        <f t="shared" ca="1" si="62"/>
        <v>0</v>
      </c>
      <c r="W292" s="137">
        <f t="shared" si="63"/>
        <v>0</v>
      </c>
      <c r="X292" s="137">
        <f t="shared" si="64"/>
        <v>0</v>
      </c>
      <c r="Y292" s="137">
        <f t="shared" ca="1" si="65"/>
        <v>0</v>
      </c>
      <c r="Z292" s="137">
        <f t="shared" ca="1" si="66"/>
        <v>0</v>
      </c>
      <c r="AA292" s="137">
        <f t="shared" ca="1" si="67"/>
        <v>0</v>
      </c>
      <c r="AB292" s="137">
        <f t="shared" ca="1" si="68"/>
        <v>0</v>
      </c>
      <c r="AC292" s="137">
        <f t="shared" ca="1" si="69"/>
        <v>0</v>
      </c>
      <c r="AD292" s="137">
        <f t="shared" ca="1" si="70"/>
        <v>0</v>
      </c>
      <c r="AE292" s="223">
        <f t="shared" ca="1" si="71"/>
        <v>0</v>
      </c>
      <c r="AF292" s="229" t="str">
        <f t="shared" ca="1" si="72"/>
        <v/>
      </c>
      <c r="AH292" s="235">
        <f t="shared" si="73"/>
        <v>45320</v>
      </c>
      <c r="AI292" s="137">
        <f t="shared" ca="1" si="74"/>
        <v>0</v>
      </c>
      <c r="AJ292" s="137">
        <f t="shared" si="75"/>
        <v>0</v>
      </c>
      <c r="AK292" s="137">
        <f t="shared" ca="1" si="103"/>
        <v>0</v>
      </c>
      <c r="AL292" s="137">
        <f t="shared" ca="1" si="104"/>
        <v>0</v>
      </c>
      <c r="AM292" s="137">
        <f t="shared" si="76"/>
        <v>0</v>
      </c>
      <c r="AN292" s="137">
        <f t="shared" ca="1" si="77"/>
        <v>0</v>
      </c>
      <c r="AO292" s="137">
        <f t="shared" ca="1" si="78"/>
        <v>0</v>
      </c>
      <c r="AP292" s="137">
        <f t="shared" ca="1" si="105"/>
        <v>0</v>
      </c>
      <c r="AQ292" s="137">
        <f t="shared" si="79"/>
        <v>0</v>
      </c>
      <c r="AR292" s="236">
        <f t="shared" ca="1" si="80"/>
        <v>0</v>
      </c>
      <c r="AT292" s="241">
        <f t="shared" ca="1" si="81"/>
        <v>28</v>
      </c>
      <c r="AV292" s="222">
        <f t="shared" ca="1" si="106"/>
        <v>0</v>
      </c>
      <c r="AW292" s="247">
        <f t="shared" si="82"/>
        <v>92</v>
      </c>
      <c r="AY292" s="239">
        <f ca="1">(AE292=5)*('  B  '!F$110=1)*OR(AND(AND(A292&gt;=S$220,A292&gt;=I$214),AND(A292&lt;=S$221,A292&lt;=I$215)),AND(AND(A292&gt;=S$230,A292&gt;=I$224),AND(A292&lt;=S$231,A292&lt;=I$225)),AND(AND(A292&gt;=S$240,A292&gt;=I$234),AND(A292&lt;=S$241,A292&lt;=I$235)))</f>
        <v>0</v>
      </c>
      <c r="BA292" s="222">
        <f t="shared" ca="1" si="107"/>
        <v>0</v>
      </c>
      <c r="BB292" s="55">
        <f t="shared" ca="1" si="83"/>
        <v>0</v>
      </c>
      <c r="BC292" s="247">
        <f t="shared" si="84"/>
        <v>182</v>
      </c>
      <c r="BE292" s="239">
        <f t="shared" ca="1" si="108"/>
        <v>0</v>
      </c>
      <c r="BG292" s="239">
        <f t="shared" ca="1" si="109"/>
        <v>0</v>
      </c>
      <c r="BI292" s="222"/>
      <c r="BJ292" s="137">
        <v>0</v>
      </c>
      <c r="BK292" s="137">
        <v>0</v>
      </c>
      <c r="BL292" s="137">
        <f t="shared" ca="1" si="85"/>
        <v>1</v>
      </c>
      <c r="BM292" s="137">
        <f t="shared" ca="1" si="110"/>
        <v>1</v>
      </c>
      <c r="BN292" s="137">
        <f ca="1">(A292&gt;=N_LFP_Startdatum)*IF('  B  '!F$110=1,NOT(OR(A292&gt;S$221,A292&gt;S$231,A292&gt;S$241)),IF(BB292&gt;BC292,0,1))</f>
        <v>1</v>
      </c>
      <c r="BO292" s="137">
        <f t="shared" ca="1" si="86"/>
        <v>1</v>
      </c>
      <c r="BP292" s="137">
        <v>0</v>
      </c>
      <c r="BQ292" s="137">
        <f t="shared" ca="1" si="87"/>
        <v>1</v>
      </c>
      <c r="BR292" s="653">
        <v>0</v>
      </c>
      <c r="BS292" s="224">
        <f ca="1">(A292&gt;=N_LFP_Startdatum)*IF('  B  '!F$110=1,NOT(OR(A292&gt;S$221,A292&gt;S$231,A292&gt;S$241)),IF(BB292&gt;BC292,0,1))</f>
        <v>1</v>
      </c>
      <c r="BU292" s="254">
        <f t="shared" ca="1" si="8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89"/>
        <v>0</v>
      </c>
      <c r="CA292" s="156">
        <f t="shared" ca="1" si="111"/>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12"/>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90"/>
        <v>0</v>
      </c>
      <c r="CL292" s="270">
        <f t="shared" ca="1" si="91"/>
        <v>0</v>
      </c>
      <c r="CM292" s="265">
        <f t="shared" ca="1" si="92"/>
        <v>0</v>
      </c>
      <c r="CO292" s="222"/>
      <c r="CP292" s="137">
        <v>0</v>
      </c>
      <c r="CQ292" s="137">
        <v>0</v>
      </c>
      <c r="CR292" s="137">
        <v>0</v>
      </c>
      <c r="CS292" s="137">
        <f t="shared" ca="1" si="93"/>
        <v>0</v>
      </c>
      <c r="CT292" s="137">
        <f t="shared" ca="1" si="94"/>
        <v>0</v>
      </c>
      <c r="CU292" s="137">
        <f t="shared" ca="1" si="95"/>
        <v>0</v>
      </c>
      <c r="CV292" s="137">
        <v>0</v>
      </c>
      <c r="CW292" s="137">
        <f t="shared" ca="1" si="96"/>
        <v>0</v>
      </c>
      <c r="CX292" s="137">
        <v>0</v>
      </c>
      <c r="CY292" s="224">
        <f t="shared" ca="1" si="97"/>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98"/>
        <v>0</v>
      </c>
      <c r="DF292" s="279">
        <f t="shared" ca="1" si="99"/>
        <v>0</v>
      </c>
      <c r="DG292" s="280">
        <f t="shared" ca="1" si="100"/>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3"/>
        <v>0</v>
      </c>
      <c r="DN292" s="279">
        <f t="shared" ca="1" si="114"/>
        <v>0</v>
      </c>
      <c r="DO292" s="279">
        <f t="shared" ca="1" si="115"/>
        <v>0</v>
      </c>
    </row>
    <row r="293" spans="1:119" x14ac:dyDescent="0.25">
      <c r="A293" s="153">
        <f>A292+1</f>
        <v>45321</v>
      </c>
      <c r="B293" s="154"/>
      <c r="C293" s="154"/>
      <c r="D293" s="154"/>
      <c r="E293" s="875" t="str">
        <f t="shared" ca="1" si="56"/>
        <v/>
      </c>
      <c r="F293" s="876"/>
      <c r="G293" s="667">
        <f t="shared" ca="1" si="101"/>
        <v>0</v>
      </c>
      <c r="H293" s="667">
        <f t="shared" ca="1" si="57"/>
        <v>0</v>
      </c>
      <c r="I293" s="667">
        <f t="shared" ca="1" si="58"/>
        <v>0</v>
      </c>
      <c r="P293" s="151">
        <f t="shared" si="59"/>
        <v>125</v>
      </c>
      <c r="R293" s="55">
        <f t="shared" si="60"/>
        <v>0</v>
      </c>
      <c r="S293" s="55">
        <f t="shared" si="102"/>
        <v>1</v>
      </c>
      <c r="U293" s="226">
        <f t="shared" si="61"/>
        <v>0</v>
      </c>
      <c r="V293" s="137">
        <f t="shared" ca="1" si="62"/>
        <v>0</v>
      </c>
      <c r="W293" s="137">
        <f t="shared" si="63"/>
        <v>0</v>
      </c>
      <c r="X293" s="137">
        <f t="shared" si="64"/>
        <v>0</v>
      </c>
      <c r="Y293" s="137">
        <f t="shared" ca="1" si="65"/>
        <v>0</v>
      </c>
      <c r="Z293" s="137">
        <f t="shared" ca="1" si="66"/>
        <v>0</v>
      </c>
      <c r="AA293" s="137">
        <f t="shared" ca="1" si="67"/>
        <v>0</v>
      </c>
      <c r="AB293" s="137">
        <f t="shared" ca="1" si="68"/>
        <v>0</v>
      </c>
      <c r="AC293" s="137">
        <f t="shared" ca="1" si="69"/>
        <v>0</v>
      </c>
      <c r="AD293" s="137">
        <f t="shared" ca="1" si="70"/>
        <v>0</v>
      </c>
      <c r="AE293" s="223">
        <f t="shared" ca="1" si="71"/>
        <v>0</v>
      </c>
      <c r="AF293" s="229" t="str">
        <f t="shared" ca="1" si="72"/>
        <v/>
      </c>
      <c r="AH293" s="235">
        <f t="shared" si="73"/>
        <v>45321</v>
      </c>
      <c r="AI293" s="137">
        <f t="shared" ca="1" si="74"/>
        <v>0</v>
      </c>
      <c r="AJ293" s="137">
        <f t="shared" si="75"/>
        <v>0</v>
      </c>
      <c r="AK293" s="137">
        <f t="shared" ca="1" si="103"/>
        <v>0</v>
      </c>
      <c r="AL293" s="137">
        <f t="shared" ca="1" si="104"/>
        <v>0</v>
      </c>
      <c r="AM293" s="137">
        <f t="shared" si="76"/>
        <v>0</v>
      </c>
      <c r="AN293" s="137">
        <f t="shared" ca="1" si="77"/>
        <v>0</v>
      </c>
      <c r="AO293" s="137">
        <f t="shared" ca="1" si="78"/>
        <v>0</v>
      </c>
      <c r="AP293" s="137">
        <f t="shared" ca="1" si="105"/>
        <v>0</v>
      </c>
      <c r="AQ293" s="137">
        <f t="shared" si="79"/>
        <v>0</v>
      </c>
      <c r="AR293" s="236">
        <f t="shared" ca="1" si="80"/>
        <v>0</v>
      </c>
      <c r="AT293" s="241">
        <f t="shared" ca="1" si="81"/>
        <v>28</v>
      </c>
      <c r="AV293" s="222">
        <f t="shared" ca="1" si="106"/>
        <v>0</v>
      </c>
      <c r="AW293" s="247">
        <f t="shared" si="82"/>
        <v>92</v>
      </c>
      <c r="AY293" s="239">
        <f ca="1">(AE293=5)*('  B  '!F$110=1)*OR(AND(AND(A293&gt;=S$220,A293&gt;=I$214),AND(A293&lt;=S$221,A293&lt;=I$215)),AND(AND(A293&gt;=S$230,A293&gt;=I$224),AND(A293&lt;=S$231,A293&lt;=I$225)),AND(AND(A293&gt;=S$240,A293&gt;=I$234),AND(A293&lt;=S$241,A293&lt;=I$235)))</f>
        <v>0</v>
      </c>
      <c r="BA293" s="222">
        <f t="shared" ca="1" si="107"/>
        <v>0</v>
      </c>
      <c r="BB293" s="55">
        <f t="shared" ca="1" si="83"/>
        <v>0</v>
      </c>
      <c r="BC293" s="247">
        <f t="shared" si="84"/>
        <v>182</v>
      </c>
      <c r="BE293" s="239">
        <f t="shared" ca="1" si="108"/>
        <v>0</v>
      </c>
      <c r="BG293" s="239">
        <f t="shared" ca="1" si="109"/>
        <v>0</v>
      </c>
      <c r="BI293" s="222"/>
      <c r="BJ293" s="137">
        <v>0</v>
      </c>
      <c r="BK293" s="137">
        <v>0</v>
      </c>
      <c r="BL293" s="137">
        <f t="shared" ca="1" si="85"/>
        <v>1</v>
      </c>
      <c r="BM293" s="137">
        <f t="shared" ca="1" si="110"/>
        <v>1</v>
      </c>
      <c r="BN293" s="137">
        <f ca="1">(A293&gt;=N_LFP_Startdatum)*IF('  B  '!F$110=1,NOT(OR(A293&gt;S$221,A293&gt;S$231,A293&gt;S$241)),IF(BB293&gt;BC293,0,1))</f>
        <v>1</v>
      </c>
      <c r="BO293" s="137">
        <f t="shared" ca="1" si="86"/>
        <v>1</v>
      </c>
      <c r="BP293" s="137">
        <v>0</v>
      </c>
      <c r="BQ293" s="137">
        <f t="shared" ca="1" si="87"/>
        <v>1</v>
      </c>
      <c r="BR293" s="653">
        <v>0</v>
      </c>
      <c r="BS293" s="224">
        <f ca="1">(A293&gt;=N_LFP_Startdatum)*IF('  B  '!F$110=1,NOT(OR(A293&gt;S$221,A293&gt;S$231,A293&gt;S$241)),IF(BB293&gt;BC293,0,1))</f>
        <v>1</v>
      </c>
      <c r="BU293" s="254">
        <f t="shared" ca="1" si="8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89"/>
        <v>0</v>
      </c>
      <c r="CA293" s="156">
        <f t="shared" ca="1" si="111"/>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12"/>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90"/>
        <v>0</v>
      </c>
      <c r="CL293" s="270">
        <f t="shared" ca="1" si="91"/>
        <v>0</v>
      </c>
      <c r="CM293" s="265">
        <f t="shared" ca="1" si="92"/>
        <v>0</v>
      </c>
      <c r="CO293" s="222"/>
      <c r="CP293" s="137">
        <v>0</v>
      </c>
      <c r="CQ293" s="137">
        <v>0</v>
      </c>
      <c r="CR293" s="137">
        <v>0</v>
      </c>
      <c r="CS293" s="137">
        <f t="shared" ca="1" si="93"/>
        <v>0</v>
      </c>
      <c r="CT293" s="137">
        <f t="shared" ca="1" si="94"/>
        <v>0</v>
      </c>
      <c r="CU293" s="137">
        <f t="shared" ca="1" si="95"/>
        <v>0</v>
      </c>
      <c r="CV293" s="137">
        <v>0</v>
      </c>
      <c r="CW293" s="137">
        <f t="shared" ca="1" si="96"/>
        <v>0</v>
      </c>
      <c r="CX293" s="137">
        <v>0</v>
      </c>
      <c r="CY293" s="224">
        <f t="shared" ca="1" si="97"/>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98"/>
        <v>0</v>
      </c>
      <c r="DF293" s="279">
        <f t="shared" ca="1" si="99"/>
        <v>0</v>
      </c>
      <c r="DG293" s="280">
        <f t="shared" ca="1" si="100"/>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3"/>
        <v>0</v>
      </c>
      <c r="DN293" s="279">
        <f t="shared" ca="1" si="114"/>
        <v>0</v>
      </c>
      <c r="DO293" s="279">
        <f t="shared" ca="1" si="115"/>
        <v>0</v>
      </c>
    </row>
    <row r="294" spans="1:119" x14ac:dyDescent="0.25">
      <c r="A294" s="153">
        <f t="shared" si="116"/>
        <v>45322</v>
      </c>
      <c r="B294" s="154"/>
      <c r="C294" s="154"/>
      <c r="D294" s="154"/>
      <c r="E294" s="875" t="str">
        <f t="shared" ca="1" si="56"/>
        <v/>
      </c>
      <c r="F294" s="876"/>
      <c r="G294" s="667">
        <f t="shared" ca="1" si="101"/>
        <v>0</v>
      </c>
      <c r="H294" s="667">
        <f t="shared" ca="1" si="57"/>
        <v>0</v>
      </c>
      <c r="I294" s="667">
        <f t="shared" ca="1" si="58"/>
        <v>0</v>
      </c>
      <c r="P294" s="151">
        <f t="shared" si="59"/>
        <v>125</v>
      </c>
      <c r="R294" s="55">
        <f t="shared" si="60"/>
        <v>0</v>
      </c>
      <c r="S294" s="55">
        <f t="shared" si="102"/>
        <v>1</v>
      </c>
      <c r="U294" s="227">
        <f t="shared" si="61"/>
        <v>0</v>
      </c>
      <c r="V294" s="225">
        <f t="shared" ca="1" si="62"/>
        <v>0</v>
      </c>
      <c r="W294" s="225">
        <f t="shared" si="63"/>
        <v>0</v>
      </c>
      <c r="X294" s="225">
        <f t="shared" si="64"/>
        <v>0</v>
      </c>
      <c r="Y294" s="225">
        <f t="shared" ca="1" si="65"/>
        <v>0</v>
      </c>
      <c r="Z294" s="225">
        <f t="shared" ca="1" si="66"/>
        <v>0</v>
      </c>
      <c r="AA294" s="225">
        <f t="shared" ca="1" si="67"/>
        <v>0</v>
      </c>
      <c r="AB294" s="225">
        <f t="shared" ca="1" si="68"/>
        <v>0</v>
      </c>
      <c r="AC294" s="225">
        <f t="shared" ca="1" si="69"/>
        <v>0</v>
      </c>
      <c r="AD294" s="225">
        <f t="shared" ca="1" si="70"/>
        <v>0</v>
      </c>
      <c r="AE294" s="228">
        <f t="shared" ca="1" si="71"/>
        <v>0</v>
      </c>
      <c r="AF294" s="229" t="str">
        <f t="shared" ca="1" si="72"/>
        <v/>
      </c>
      <c r="AH294" s="237">
        <f t="shared" si="73"/>
        <v>45322</v>
      </c>
      <c r="AI294" s="225">
        <f t="shared" ca="1" si="74"/>
        <v>0</v>
      </c>
      <c r="AJ294" s="225">
        <f t="shared" si="75"/>
        <v>0</v>
      </c>
      <c r="AK294" s="225">
        <f t="shared" ca="1" si="103"/>
        <v>0</v>
      </c>
      <c r="AL294" s="225">
        <f t="shared" ca="1" si="104"/>
        <v>0</v>
      </c>
      <c r="AM294" s="225">
        <f t="shared" si="76"/>
        <v>0</v>
      </c>
      <c r="AN294" s="137">
        <f t="shared" ca="1" si="77"/>
        <v>0</v>
      </c>
      <c r="AO294" s="225">
        <f t="shared" ca="1" si="78"/>
        <v>0</v>
      </c>
      <c r="AP294" s="225">
        <f t="shared" ca="1" si="105"/>
        <v>0</v>
      </c>
      <c r="AQ294" s="225">
        <f t="shared" si="79"/>
        <v>0</v>
      </c>
      <c r="AR294" s="238">
        <f t="shared" ca="1" si="80"/>
        <v>0</v>
      </c>
      <c r="AT294" s="242">
        <f t="shared" ca="1" si="81"/>
        <v>28</v>
      </c>
      <c r="AV294" s="215">
        <f t="shared" ca="1" si="106"/>
        <v>0</v>
      </c>
      <c r="AW294" s="248">
        <f t="shared" si="82"/>
        <v>92</v>
      </c>
      <c r="AY294" s="149">
        <f ca="1">(AE294=5)*('  B  '!F$110=1)*OR(AND(AND(A294&gt;=S$220,A294&gt;=I$214),AND(A294&lt;=S$221,A294&lt;=I$215)),AND(AND(A294&gt;=S$230,A294&gt;=I$224),AND(A294&lt;=S$231,A294&lt;=I$225)),AND(AND(A294&gt;=S$240,A294&gt;=I$234),AND(A294&lt;=S$241,A294&lt;=I$235)))</f>
        <v>0</v>
      </c>
      <c r="BA294" s="215">
        <f t="shared" ca="1" si="107"/>
        <v>0</v>
      </c>
      <c r="BB294" s="250">
        <f t="shared" ca="1" si="83"/>
        <v>0</v>
      </c>
      <c r="BC294" s="248">
        <f t="shared" si="84"/>
        <v>182</v>
      </c>
      <c r="BE294" s="149">
        <f t="shared" ca="1" si="108"/>
        <v>0</v>
      </c>
      <c r="BG294" s="149">
        <f t="shared" ca="1" si="109"/>
        <v>0</v>
      </c>
      <c r="BI294" s="215"/>
      <c r="BJ294" s="225">
        <v>0</v>
      </c>
      <c r="BK294" s="225">
        <v>0</v>
      </c>
      <c r="BL294" s="225">
        <f t="shared" ca="1" si="85"/>
        <v>1</v>
      </c>
      <c r="BM294" s="225">
        <f t="shared" ca="1" si="110"/>
        <v>1</v>
      </c>
      <c r="BN294" s="225">
        <f ca="1">(A294&gt;=N_LFP_Startdatum)*IF('  B  '!F$110=1,NOT(OR(A294&gt;S$221,A294&gt;S$231,A294&gt;S$241)),IF(BB294&gt;BC294,0,1))</f>
        <v>1</v>
      </c>
      <c r="BO294" s="225">
        <f t="shared" ca="1" si="86"/>
        <v>1</v>
      </c>
      <c r="BP294" s="225">
        <v>0</v>
      </c>
      <c r="BQ294" s="225">
        <f t="shared" ca="1" si="87"/>
        <v>1</v>
      </c>
      <c r="BR294" s="654">
        <v>0</v>
      </c>
      <c r="BS294" s="374">
        <f ca="1">(A294&gt;=N_LFP_Startdatum)*IF('  B  '!F$110=1,NOT(OR(A294&gt;S$221,A294&gt;S$231,A294&gt;S$241)),IF(BB294&gt;BC294,0,1))</f>
        <v>1</v>
      </c>
      <c r="BU294" s="256">
        <f t="shared" ca="1" si="8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89"/>
        <v>0</v>
      </c>
      <c r="CA294" s="257">
        <f t="shared" ca="1" si="111"/>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12"/>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90"/>
        <v>0</v>
      </c>
      <c r="CL294" s="271">
        <f t="shared" ca="1" si="91"/>
        <v>0</v>
      </c>
      <c r="CM294" s="269">
        <f t="shared" ca="1" si="92"/>
        <v>0</v>
      </c>
      <c r="CO294" s="215"/>
      <c r="CP294" s="225">
        <v>0</v>
      </c>
      <c r="CQ294" s="225">
        <v>0</v>
      </c>
      <c r="CR294" s="225">
        <v>0</v>
      </c>
      <c r="CS294" s="225">
        <f t="shared" ca="1" si="93"/>
        <v>0</v>
      </c>
      <c r="CT294" s="225">
        <f t="shared" ca="1" si="94"/>
        <v>0</v>
      </c>
      <c r="CU294" s="225">
        <f t="shared" ca="1" si="95"/>
        <v>0</v>
      </c>
      <c r="CV294" s="225">
        <v>0</v>
      </c>
      <c r="CW294" s="225">
        <f t="shared" ca="1" si="96"/>
        <v>0</v>
      </c>
      <c r="CX294" s="225">
        <v>0</v>
      </c>
      <c r="CY294" s="374">
        <f t="shared" ca="1" si="97"/>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98"/>
        <v>0</v>
      </c>
      <c r="DF294" s="282">
        <f t="shared" ca="1" si="99"/>
        <v>0</v>
      </c>
      <c r="DG294" s="283">
        <f t="shared" ca="1" si="100"/>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3"/>
        <v>0</v>
      </c>
      <c r="DN294" s="279">
        <f t="shared" ca="1" si="114"/>
        <v>0</v>
      </c>
      <c r="DO294" s="279">
        <f t="shared" ca="1" si="115"/>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7">SUM(CH264:CH294)</f>
        <v>0</v>
      </c>
      <c r="CI295" s="522">
        <f t="shared" ca="1" si="117"/>
        <v>0</v>
      </c>
      <c r="CJ295" s="522">
        <f t="shared" ca="1" si="117"/>
        <v>0</v>
      </c>
      <c r="CK295" s="522">
        <f t="shared" ca="1" si="117"/>
        <v>0</v>
      </c>
      <c r="CL295" s="522">
        <f t="shared" ca="1" si="117"/>
        <v>0</v>
      </c>
      <c r="CM295" s="522">
        <f t="shared" ca="1" si="117"/>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8">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8"/>
        <v>Stand am Monatsbeginn</v>
      </c>
      <c r="B299" s="883">
        <f t="shared" ref="B299:E307" ca="1" si="119">INDIRECT(ADDRESS(ROW()+N_Offset_M,COLUMN()+(N_SpracheAuswahl)*26,,,"Text"))</f>
        <v>0</v>
      </c>
      <c r="C299" s="883">
        <f t="shared" ca="1" si="119"/>
        <v>0</v>
      </c>
      <c r="D299" s="883">
        <f t="shared" ca="1" si="119"/>
        <v>0</v>
      </c>
      <c r="E299" s="884">
        <f t="shared" ca="1" si="119"/>
        <v>0</v>
      </c>
      <c r="F299" s="566">
        <f>'  I  '!C12</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8"/>
        <v>Sollarbeitsstunden in diesem Monat</v>
      </c>
      <c r="B300" s="885">
        <f t="shared" ca="1" si="119"/>
        <v>0</v>
      </c>
      <c r="C300" s="885">
        <f t="shared" ca="1" si="119"/>
        <v>0</v>
      </c>
      <c r="D300" s="885">
        <f t="shared" ca="1" si="119"/>
        <v>0</v>
      </c>
      <c r="E300" s="886">
        <f t="shared" ca="1" si="119"/>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8"/>
        <v>geleistete Arbeitsstunden</v>
      </c>
      <c r="B301" s="885">
        <f t="shared" ca="1" si="119"/>
        <v>0</v>
      </c>
      <c r="C301" s="885">
        <f t="shared" ca="1" si="119"/>
        <v>0</v>
      </c>
      <c r="D301" s="885">
        <f t="shared" ca="1" si="119"/>
        <v>0</v>
      </c>
      <c r="E301" s="886">
        <f t="shared" ca="1" si="119"/>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19"/>
        <v>0</v>
      </c>
      <c r="C302" s="885">
        <f t="shared" ca="1" si="119"/>
        <v>0</v>
      </c>
      <c r="D302" s="885">
        <f t="shared" ca="1" si="119"/>
        <v>0</v>
      </c>
      <c r="E302" s="886">
        <f t="shared" ca="1" si="119"/>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8"/>
        <v>Arbeitsausfall mit Lohnfortzahlung</v>
      </c>
      <c r="B303" s="885">
        <f t="shared" ca="1" si="119"/>
        <v>0</v>
      </c>
      <c r="C303" s="885">
        <f t="shared" ca="1" si="119"/>
        <v>0</v>
      </c>
      <c r="D303" s="885">
        <f t="shared" ca="1" si="119"/>
        <v>0</v>
      </c>
      <c r="E303" s="886">
        <f t="shared" ca="1" si="119"/>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8"/>
        <v>Arbeitsausfall ohne Lohnfortzahlung</v>
      </c>
      <c r="B304" s="885">
        <f t="shared" ca="1" si="119"/>
        <v>0</v>
      </c>
      <c r="C304" s="885">
        <f t="shared" ca="1" si="119"/>
        <v>0</v>
      </c>
      <c r="D304" s="885">
        <f t="shared" ca="1" si="119"/>
        <v>0</v>
      </c>
      <c r="E304" s="886">
        <f t="shared" ca="1" si="119"/>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8"/>
        <v>Vergütung von Überstunden</v>
      </c>
      <c r="B305" s="885">
        <f t="shared" ca="1" si="119"/>
        <v>0</v>
      </c>
      <c r="C305" s="885">
        <f t="shared" ca="1" si="119"/>
        <v>0</v>
      </c>
      <c r="D305" s="885">
        <f t="shared" ca="1" si="119"/>
        <v>0</v>
      </c>
      <c r="E305" s="886">
        <f t="shared" ca="1" si="119"/>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8"/>
        <v>Korrektur Saldo Arbeitsstunden ohne Auswirkungen auf Lohnabrechnung (Eingabe in Spalte F)</v>
      </c>
      <c r="B306" s="888">
        <f t="shared" ca="1" si="119"/>
        <v>0</v>
      </c>
      <c r="C306" s="888">
        <f t="shared" ca="1" si="119"/>
        <v>0</v>
      </c>
      <c r="D306" s="888">
        <f t="shared" ca="1" si="119"/>
        <v>0</v>
      </c>
      <c r="E306" s="889">
        <f t="shared" ca="1" si="119"/>
        <v>0</v>
      </c>
      <c r="F306" s="143"/>
      <c r="G306" s="879"/>
      <c r="H306" s="880"/>
      <c r="I306" s="880"/>
      <c r="AK306" s="137"/>
      <c r="AQ306" s="55"/>
      <c r="AR306" s="137"/>
      <c r="AT306" s="55"/>
    </row>
    <row r="307" spans="1:46" x14ac:dyDescent="0.25">
      <c r="A307" s="882" t="str">
        <f t="shared" ca="1" si="118"/>
        <v>Saldo Arbeitsstunden Monatsende</v>
      </c>
      <c r="B307" s="883">
        <f t="shared" ca="1" si="119"/>
        <v>0</v>
      </c>
      <c r="C307" s="883">
        <f t="shared" ca="1" si="119"/>
        <v>0</v>
      </c>
      <c r="D307" s="883">
        <f t="shared" ca="1" si="119"/>
        <v>0</v>
      </c>
      <c r="E307" s="884">
        <f t="shared" ca="1" si="119"/>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ca="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45292</v>
      </c>
      <c r="I310" s="878"/>
      <c r="O310" s="408"/>
      <c r="AK310" s="408"/>
      <c r="AM310" s="408"/>
      <c r="AO310" s="408"/>
      <c r="AR310" s="408"/>
    </row>
    <row r="311" spans="1:46" ht="27" customHeight="1" x14ac:dyDescent="0.25">
      <c r="A311" s="891" t="str">
        <f ca="1">IF(O311=0,"",IF(O311=1,AA311,P311))</f>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ca="1">IF(O312=0,"",IF(O312=1,AA312,P312))</f>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ca="1">IF(O313=0,"",IF(O313=1,AA313,P313))</f>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ca="1">IF(O314=0,"",IF(O314=1,AA314,P314))</f>
        <v>Beschreibung</v>
      </c>
      <c r="B314" s="893" t="str">
        <f>IF(P314=0,"",IF(P314=1,AB314,Q314))</f>
        <v/>
      </c>
      <c r="C314" s="893" t="str">
        <f>IF(Q314=0,"",IF(Q314=1,AC314,R314))</f>
        <v/>
      </c>
      <c r="D314" s="495" t="str">
        <f ca="1">IF($O314&gt;0,AD314,"")</f>
        <v>Auswahl Ja/Nein</v>
      </c>
      <c r="E314" s="460" t="str">
        <f ca="1">IF($O314&gt;0,AE314,"")</f>
        <v>Einheit</v>
      </c>
      <c r="F314" s="461" t="str">
        <f t="shared" ref="F314:I314" ca="1" si="120">IF($O314&gt;0,AF314,"")</f>
        <v>Wert</v>
      </c>
      <c r="G314" s="894" t="str">
        <f t="shared" ca="1" si="120"/>
        <v>Beschreibungstext zu Korrektur (max. 32 Zeichen)</v>
      </c>
      <c r="H314" s="895">
        <f t="shared" si="120"/>
        <v>0</v>
      </c>
      <c r="I314" s="895">
        <f t="shared" si="120"/>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ref="A315:A330" ca="1" si="121">IF(O315=0,"",IF(O315=1,AA315,P315))</f>
        <v>Monatslohn</v>
      </c>
      <c r="B315" s="862" t="str">
        <f t="shared" ref="B315:B329" ca="1" si="122">IF(P315=0,"",IF(P315=1,AB315,Q315))</f>
        <v>CHF</v>
      </c>
      <c r="C315" s="863">
        <f t="shared" ref="C315:C329" si="123">IF(Q315=0,"",IF(Q315=1,AC315,R315))</f>
        <v>0</v>
      </c>
      <c r="D315" s="136" t="s">
        <v>875</v>
      </c>
      <c r="E315" s="460" t="str">
        <f ca="1">IF(VLOOKUP(D315,A_JaNein_Auswahl,2,0)=1,IF($O315&gt;0,Q315,""),"")</f>
        <v/>
      </c>
      <c r="F315" s="286"/>
      <c r="G315" s="866"/>
      <c r="H315" s="867"/>
      <c r="I315" s="868"/>
      <c r="N315" s="87"/>
      <c r="O315" s="288">
        <v>1</v>
      </c>
      <c r="P315" s="55">
        <f t="shared" ref="P315:P329" ca="1" si="124">VLOOKUP(D315,A_JaNein_Auswahl,2,0)</f>
        <v>2</v>
      </c>
      <c r="Q315" s="55" t="s">
        <v>1134</v>
      </c>
      <c r="AA315" s="294" t="str">
        <f ca="1">INDEX(L_Lohnart,N_LohnartAuswahl)</f>
        <v>Monatslohn</v>
      </c>
      <c r="AK315" s="137"/>
      <c r="AQ315" s="55"/>
      <c r="AR315" s="137"/>
      <c r="AT315" s="55"/>
    </row>
    <row r="316" spans="1:46" x14ac:dyDescent="0.25">
      <c r="A316" s="862" t="str">
        <f t="shared" si="121"/>
        <v/>
      </c>
      <c r="B316" s="862">
        <f t="shared" ca="1" si="122"/>
        <v>0</v>
      </c>
      <c r="C316" s="863">
        <f t="shared" ca="1" si="123"/>
        <v>0</v>
      </c>
      <c r="D316" s="136" t="s">
        <v>876</v>
      </c>
      <c r="E316" s="373" t="str">
        <f t="shared" ref="E316" ca="1" si="125">IF(VLOOKUP(D316,A_JaNein_Auswahl,2,0)=1,IF($O316&gt;0,Q316,""),"")</f>
        <v/>
      </c>
      <c r="F316" s="287"/>
      <c r="G316" s="866" t="s">
        <v>26</v>
      </c>
      <c r="H316" s="867"/>
      <c r="I316" s="868"/>
      <c r="O316" s="288">
        <f>1*('  B  '!C61&gt;0)</f>
        <v>0</v>
      </c>
      <c r="P316" s="55">
        <f t="shared" ca="1" si="124"/>
        <v>1</v>
      </c>
      <c r="Q316" s="55" t="str">
        <f ca="1">B_Anzahl</f>
        <v>Anzahl</v>
      </c>
      <c r="AA316" s="55" t="str">
        <f ca="1">INDIRECT(ADDRESS(ROW()+N_Offset_M,COLUMN(A316)+(N_SpracheAuswahl)*26,,,"Text"))</f>
        <v>Nachtpauschalen</v>
      </c>
      <c r="AB316" s="55">
        <f t="shared" ref="AB316" ca="1" si="126">INDIRECT(ADDRESS(ROW()+N_Offset_M,COLUMN(B316)+(N_SpracheAuswahl)*26,,,"Text"))</f>
        <v>0</v>
      </c>
      <c r="AC316" s="55">
        <f t="shared" ref="AC316" ca="1" si="127">INDIRECT(ADDRESS(ROW()+N_Offset_M,COLUMN(C316)+(N_SpracheAuswahl)*26,,,"Text"))</f>
        <v>0</v>
      </c>
      <c r="AD316" s="55">
        <f t="shared" ref="AD316" ca="1" si="128">INDIRECT(ADDRESS(ROW()+N_Offset_M,COLUMN(D316)+(N_SpracheAuswahl)*26,,,"Text"))</f>
        <v>0</v>
      </c>
    </row>
    <row r="317" spans="1:46" x14ac:dyDescent="0.25">
      <c r="A317" s="862" t="str">
        <f t="shared" ca="1" si="121"/>
        <v>Ferienentschädigung</v>
      </c>
      <c r="B317" s="862" t="str">
        <f t="shared" ca="1" si="122"/>
        <v>Stunden</v>
      </c>
      <c r="C317" s="863">
        <f t="shared" ca="1" si="123"/>
        <v>0</v>
      </c>
      <c r="D317" s="136" t="str">
        <f ca="1">Text!C$5</f>
        <v>Nein</v>
      </c>
      <c r="E317" s="373" t="str">
        <f t="shared" ref="E317:E329" ca="1" si="129">IF(VLOOKUP(D317,A_JaNein_Auswahl,2,0)=1,IF($O317&gt;0,Q317,""),"")</f>
        <v/>
      </c>
      <c r="F317" s="286"/>
      <c r="G317" s="871"/>
      <c r="H317" s="869"/>
      <c r="I317" s="870"/>
      <c r="N317" s="63"/>
      <c r="O317" s="288">
        <f ca="1">1*OR(AND(N_LohnartAuswahl=1,N_Kündigung&gt;0),AND(N_LohnartAuswahl=2,N_Ferien_ArtAuszahlung_Auswahl=2))</f>
        <v>1</v>
      </c>
      <c r="P317" s="55">
        <f t="shared" ca="1" si="124"/>
        <v>2</v>
      </c>
      <c r="Q317" s="55" t="str">
        <f ca="1">B_Stunden</f>
        <v>Stunden</v>
      </c>
      <c r="AA317" s="55" t="str">
        <f t="shared" ref="AA317:AA329" ca="1" si="130">INDIRECT(ADDRESS(ROW()+N_Offset_M,COLUMN(A317)+(N_SpracheAuswahl)*26,,,"Text"))</f>
        <v>Ferienentschädigung</v>
      </c>
    </row>
    <row r="318" spans="1:46" ht="52.2" customHeight="1" x14ac:dyDescent="0.25">
      <c r="A318" s="862" t="str">
        <f t="shared" ca="1" si="121"/>
        <v>Ferienguthaben (ohne Auswirkung auf Lohnzahlung)</v>
      </c>
      <c r="B318" s="862" t="str">
        <f t="shared" ca="1" si="122"/>
        <v>Tage</v>
      </c>
      <c r="C318" s="863">
        <f t="shared" ca="1" si="123"/>
        <v>0</v>
      </c>
      <c r="D318" s="136" t="s">
        <v>875</v>
      </c>
      <c r="E318" s="373" t="str">
        <f t="shared" ca="1" si="129"/>
        <v/>
      </c>
      <c r="F318" s="286"/>
      <c r="G318" s="871"/>
      <c r="H318" s="867"/>
      <c r="I318" s="868"/>
      <c r="N318" s="607">
        <f>IF(O318=1,F318,0)</f>
        <v>0</v>
      </c>
      <c r="O318" s="288">
        <v>1</v>
      </c>
      <c r="P318" s="55">
        <f t="shared" ca="1" si="124"/>
        <v>2</v>
      </c>
      <c r="Q318" s="55" t="str">
        <f ca="1">B_Tage</f>
        <v>Tage</v>
      </c>
      <c r="AA318" s="55" t="str">
        <f t="shared" ca="1" si="130"/>
        <v>Ferienguthaben (ohne Auswirkung auf Lohnzahlung)</v>
      </c>
    </row>
    <row r="319" spans="1:46" x14ac:dyDescent="0.25">
      <c r="A319" s="862" t="str">
        <f t="shared" ref="A319:C320" ca="1" si="131">IF(O319=0,"",IF(O319=1,AA319,P319))</f>
        <v>AHV/IV/EO Prämien</v>
      </c>
      <c r="B319" s="862" t="str">
        <f t="shared" ca="1" si="131"/>
        <v>CHF</v>
      </c>
      <c r="C319" s="863">
        <f t="shared" si="131"/>
        <v>0</v>
      </c>
      <c r="D319" s="136" t="s">
        <v>875</v>
      </c>
      <c r="E319" s="373" t="str">
        <f t="shared" ca="1" si="129"/>
        <v/>
      </c>
      <c r="F319" s="286"/>
      <c r="G319" s="866"/>
      <c r="H319" s="867"/>
      <c r="I319" s="868"/>
      <c r="O319" s="288">
        <v>1</v>
      </c>
      <c r="P319" s="55">
        <f ca="1">VLOOKUP(D319,A_JaNein_Auswahl,2,0)</f>
        <v>2</v>
      </c>
      <c r="Q319" s="55" t="s">
        <v>1134</v>
      </c>
      <c r="AA319" s="55" t="str">
        <f t="shared" ca="1" si="130"/>
        <v>AHV/IV/EO Prämien</v>
      </c>
    </row>
    <row r="320" spans="1:46" ht="27" customHeight="1" x14ac:dyDescent="0.25">
      <c r="A320" s="862" t="str">
        <f t="shared" ca="1" si="131"/>
        <v>ALV Prämien</v>
      </c>
      <c r="B320" s="862" t="str">
        <f t="shared" ca="1" si="131"/>
        <v>CHF</v>
      </c>
      <c r="C320" s="863">
        <f t="shared" si="131"/>
        <v>0</v>
      </c>
      <c r="D320" s="136" t="s">
        <v>875</v>
      </c>
      <c r="E320" s="373" t="str">
        <f t="shared" ca="1" si="129"/>
        <v/>
      </c>
      <c r="F320" s="286"/>
      <c r="G320" s="866"/>
      <c r="H320" s="867"/>
      <c r="I320" s="868"/>
      <c r="O320" s="288">
        <v>1</v>
      </c>
      <c r="P320" s="55">
        <f ca="1">VLOOKUP(D320,A_JaNein_Auswahl,2,0)</f>
        <v>2</v>
      </c>
      <c r="Q320" s="55" t="s">
        <v>1134</v>
      </c>
      <c r="AA320" s="55" t="str">
        <f t="shared" ca="1" si="130"/>
        <v>ALV Prämien</v>
      </c>
    </row>
    <row r="321" spans="1:27" x14ac:dyDescent="0.25">
      <c r="A321" s="862" t="str">
        <f t="shared" si="121"/>
        <v/>
      </c>
      <c r="B321" s="862" t="str">
        <f t="shared" ca="1" si="122"/>
        <v>CHF</v>
      </c>
      <c r="C321" s="863">
        <f t="shared" si="123"/>
        <v>0</v>
      </c>
      <c r="D321" s="136" t="s">
        <v>875</v>
      </c>
      <c r="E321" s="373" t="str">
        <f t="shared" ca="1" si="129"/>
        <v/>
      </c>
      <c r="F321" s="286"/>
      <c r="G321" s="866"/>
      <c r="H321" s="867"/>
      <c r="I321" s="868"/>
      <c r="O321" s="288">
        <f>1*(SUM('  B  '!C79:D79)&gt;0)</f>
        <v>0</v>
      </c>
      <c r="P321" s="55">
        <f t="shared" ca="1" si="124"/>
        <v>2</v>
      </c>
      <c r="Q321" s="55" t="s">
        <v>1134</v>
      </c>
      <c r="AA321" s="55" t="str">
        <f t="shared" ca="1" si="130"/>
        <v>NBU Prämien</v>
      </c>
    </row>
    <row r="322" spans="1:27" ht="27" customHeight="1" x14ac:dyDescent="0.25">
      <c r="A322" s="862" t="str">
        <f t="shared" si="121"/>
        <v/>
      </c>
      <c r="B322" s="862">
        <f t="shared" ca="1" si="122"/>
        <v>0</v>
      </c>
      <c r="C322" s="863">
        <f t="shared" si="123"/>
        <v>0</v>
      </c>
      <c r="D322" s="136" t="s">
        <v>876</v>
      </c>
      <c r="E322" s="373" t="str">
        <f t="shared" ca="1" si="129"/>
        <v/>
      </c>
      <c r="F322" s="286"/>
      <c r="G322" s="866"/>
      <c r="H322" s="867"/>
      <c r="I322" s="868"/>
      <c r="O322" s="288">
        <f>1*(SUM('  B  '!C80:D80)&gt;0)</f>
        <v>0</v>
      </c>
      <c r="P322" s="55">
        <f t="shared" ca="1" si="124"/>
        <v>1</v>
      </c>
      <c r="Q322" s="55" t="s">
        <v>1134</v>
      </c>
      <c r="AA322" s="55" t="str">
        <f t="shared" ca="1" si="130"/>
        <v>Berufliche Vorsorge Prämie</v>
      </c>
    </row>
    <row r="323" spans="1:27" ht="27" customHeight="1" x14ac:dyDescent="0.25">
      <c r="A323" s="862" t="str">
        <f t="shared" ca="1" si="121"/>
        <v>Familienzulage Prämie</v>
      </c>
      <c r="B323" s="862" t="str">
        <f t="shared" ca="1" si="122"/>
        <v>CHF</v>
      </c>
      <c r="C323" s="863">
        <f t="shared" si="123"/>
        <v>0</v>
      </c>
      <c r="D323" s="136" t="s">
        <v>875</v>
      </c>
      <c r="E323" s="373" t="str">
        <f t="shared" ca="1" si="129"/>
        <v/>
      </c>
      <c r="F323" s="286"/>
      <c r="G323" s="866"/>
      <c r="H323" s="867"/>
      <c r="I323" s="868"/>
      <c r="O323" s="288">
        <f>1*(SUM('  B  '!C81:D81)&gt;0)</f>
        <v>1</v>
      </c>
      <c r="P323" s="55">
        <f t="shared" ca="1" si="124"/>
        <v>2</v>
      </c>
      <c r="Q323" s="55" t="s">
        <v>1134</v>
      </c>
      <c r="AA323" s="55" t="str">
        <f t="shared" ca="1" si="130"/>
        <v>Familienzulage Prämie</v>
      </c>
    </row>
    <row r="324" spans="1:27" x14ac:dyDescent="0.25">
      <c r="A324" s="862" t="str">
        <f t="shared" si="121"/>
        <v/>
      </c>
      <c r="B324" s="862" t="str">
        <f t="shared" ca="1" si="122"/>
        <v>CHF</v>
      </c>
      <c r="C324" s="863">
        <f t="shared" si="123"/>
        <v>0</v>
      </c>
      <c r="D324" s="136" t="s">
        <v>875</v>
      </c>
      <c r="E324" s="373" t="str">
        <f t="shared" ca="1" si="129"/>
        <v/>
      </c>
      <c r="F324" s="286"/>
      <c r="G324" s="866"/>
      <c r="H324" s="867"/>
      <c r="I324" s="868"/>
      <c r="O324" s="288">
        <f>1*(SUM('  B  '!C82:D82)&gt;0)</f>
        <v>0</v>
      </c>
      <c r="P324" s="55">
        <f t="shared" ca="1" si="124"/>
        <v>2</v>
      </c>
      <c r="Q324" s="55" t="s">
        <v>1134</v>
      </c>
      <c r="AA324" s="55" t="str">
        <f t="shared" ca="1" si="130"/>
        <v>KTG Prämie</v>
      </c>
    </row>
    <row r="325" spans="1:27" ht="27" customHeight="1" x14ac:dyDescent="0.25">
      <c r="A325" s="862" t="str">
        <f ca="1">IF(O325=0,"",IF(O325=1,AA325,P325))</f>
        <v/>
      </c>
      <c r="B325" s="862">
        <f t="shared" ca="1" si="122"/>
        <v>0</v>
      </c>
      <c r="C325" s="863">
        <f t="shared" si="123"/>
        <v>0</v>
      </c>
      <c r="D325" s="136" t="s">
        <v>876</v>
      </c>
      <c r="E325" s="373" t="str">
        <f t="shared" ca="1" si="129"/>
        <v/>
      </c>
      <c r="F325" s="286"/>
      <c r="G325" s="866"/>
      <c r="H325" s="869"/>
      <c r="I325" s="870"/>
      <c r="N325" s="63"/>
      <c r="O325" s="288">
        <f ca="1">1*(VLOOKUP('  B  '!C84,A_JaNein_Auswahl,2,0)=1)</f>
        <v>0</v>
      </c>
      <c r="P325" s="55">
        <f t="shared" ca="1" si="124"/>
        <v>1</v>
      </c>
      <c r="Q325" s="55" t="s">
        <v>1134</v>
      </c>
      <c r="AA325" s="55" t="str">
        <f t="shared" ca="1" si="130"/>
        <v>Kinder / Ausbildungszulage</v>
      </c>
    </row>
    <row r="326" spans="1:27" ht="39.9" customHeight="1" x14ac:dyDescent="0.25">
      <c r="A326" s="862" t="str">
        <f t="shared" ca="1" si="121"/>
        <v>Taggelder der Unfallversicherung</v>
      </c>
      <c r="B326" s="862" t="str">
        <f t="shared" ca="1" si="122"/>
        <v>CHF</v>
      </c>
      <c r="C326" s="863">
        <f t="shared" si="123"/>
        <v>0</v>
      </c>
      <c r="D326" s="136" t="s">
        <v>875</v>
      </c>
      <c r="E326" s="373" t="str">
        <f t="shared" ca="1" si="129"/>
        <v/>
      </c>
      <c r="F326" s="286"/>
      <c r="G326" s="866"/>
      <c r="H326" s="869"/>
      <c r="I326" s="870"/>
      <c r="N326" s="63"/>
      <c r="O326" s="288">
        <v>1</v>
      </c>
      <c r="P326" s="55">
        <f t="shared" ca="1" si="124"/>
        <v>2</v>
      </c>
      <c r="Q326" s="55" t="s">
        <v>1134</v>
      </c>
      <c r="AA326" s="55" t="str">
        <f t="shared" ca="1" si="130"/>
        <v>Taggelder der Unfallversicherung</v>
      </c>
    </row>
    <row r="327" spans="1:27" ht="27" customHeight="1" x14ac:dyDescent="0.25">
      <c r="A327" s="862" t="str">
        <f t="shared" ca="1" si="121"/>
        <v/>
      </c>
      <c r="B327" s="862" t="str">
        <f t="shared" ca="1" si="122"/>
        <v>CHF</v>
      </c>
      <c r="C327" s="863">
        <f t="shared" si="123"/>
        <v>0</v>
      </c>
      <c r="D327" s="136" t="s">
        <v>875</v>
      </c>
      <c r="E327" s="373" t="str">
        <f t="shared" ca="1" si="129"/>
        <v/>
      </c>
      <c r="F327" s="286"/>
      <c r="G327" s="866"/>
      <c r="H327" s="869"/>
      <c r="I327" s="870"/>
      <c r="N327" s="63"/>
      <c r="O327" s="288">
        <f ca="1">1*('  B  '!F110=1)</f>
        <v>0</v>
      </c>
      <c r="P327" s="55">
        <f t="shared" ca="1" si="124"/>
        <v>2</v>
      </c>
      <c r="Q327" s="55" t="s">
        <v>1134</v>
      </c>
      <c r="AA327" s="55" t="str">
        <f t="shared" ca="1" si="130"/>
        <v>Taggelder der Krankenversicherung</v>
      </c>
    </row>
    <row r="328" spans="1:27" x14ac:dyDescent="0.25">
      <c r="A328" s="862" t="str">
        <f t="shared" ca="1" si="121"/>
        <v/>
      </c>
      <c r="B328" s="862">
        <f t="shared" ca="1" si="122"/>
        <v>0</v>
      </c>
      <c r="C328" s="863">
        <f t="shared" si="123"/>
        <v>0</v>
      </c>
      <c r="D328" s="136" t="s">
        <v>876</v>
      </c>
      <c r="E328" s="373" t="str">
        <f t="shared" ca="1" si="129"/>
        <v/>
      </c>
      <c r="F328" s="286"/>
      <c r="G328" s="871"/>
      <c r="H328" s="869"/>
      <c r="I328" s="870"/>
      <c r="N328" s="63"/>
      <c r="O328" s="288">
        <f ca="1">1*(VLOOKUP('  B  '!C85,A_JaNein_Auswahl,2,0)=1)</f>
        <v>0</v>
      </c>
      <c r="P328" s="55">
        <f t="shared" ca="1" si="124"/>
        <v>1</v>
      </c>
      <c r="Q328" s="55" t="s">
        <v>1134</v>
      </c>
      <c r="AA328" s="55" t="str">
        <f t="shared" ca="1" si="130"/>
        <v>Quellensteuer</v>
      </c>
    </row>
    <row r="329" spans="1:27" x14ac:dyDescent="0.25">
      <c r="A329" s="862" t="str">
        <f t="shared" ca="1" si="121"/>
        <v>Spesen</v>
      </c>
      <c r="B329" s="862" t="str">
        <f t="shared" ca="1" si="122"/>
        <v>CHF</v>
      </c>
      <c r="C329" s="863">
        <f t="shared" si="123"/>
        <v>0</v>
      </c>
      <c r="D329" s="136" t="s">
        <v>875</v>
      </c>
      <c r="E329" s="373" t="str">
        <f t="shared" ca="1" si="129"/>
        <v/>
      </c>
      <c r="F329" s="286"/>
      <c r="G329" s="866"/>
      <c r="H329" s="869"/>
      <c r="I329" s="870"/>
      <c r="N329" s="63"/>
      <c r="O329" s="288">
        <v>1</v>
      </c>
      <c r="P329" s="55">
        <f t="shared" ca="1" si="124"/>
        <v>2</v>
      </c>
      <c r="Q329" s="55" t="s">
        <v>1134</v>
      </c>
      <c r="AA329" s="55" t="str">
        <f t="shared" ca="1" si="130"/>
        <v>Spesen</v>
      </c>
    </row>
    <row r="330" spans="1:27" x14ac:dyDescent="0.25">
      <c r="A330" s="492">
        <f t="shared" si="121"/>
        <v>0</v>
      </c>
      <c r="H330" s="64"/>
      <c r="N330" s="63"/>
      <c r="O330" s="288">
        <v>1</v>
      </c>
    </row>
    <row r="331" spans="1:27" ht="109.5"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32">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3" spans="1:46" hidden="1" x14ac:dyDescent="0.25"/>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45292</v>
      </c>
      <c r="H360" s="159"/>
      <c r="I360" s="197"/>
      <c r="J360" s="160">
        <f>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ref="J361:J453" si="133">OR(NOT(I361=0),M361="F")*1+J360</f>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3"/>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3"/>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3"/>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3"/>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3"/>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3"/>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3"/>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3"/>
        <v>11</v>
      </c>
      <c r="K369" s="55">
        <v>11</v>
      </c>
      <c r="M369" s="55" t="s">
        <v>54</v>
      </c>
      <c r="AA369" s="206"/>
      <c r="AB369" s="206"/>
      <c r="AC369" s="206"/>
      <c r="AD369" s="206"/>
      <c r="AE369" s="206"/>
      <c r="AF369" s="206"/>
      <c r="AG369" s="206"/>
      <c r="AH369" s="206"/>
      <c r="AI369" s="206"/>
    </row>
    <row r="370" spans="1:35" hidden="1" x14ac:dyDescent="0.25">
      <c r="A370" s="159" t="str">
        <f t="shared" ref="A370:A380" ca="1" si="134">AA370</f>
        <v>Abrechnungsdatum</v>
      </c>
      <c r="B370" s="159"/>
      <c r="C370" s="159"/>
      <c r="E370" s="198">
        <f>I23</f>
        <v>0</v>
      </c>
      <c r="F370" s="159"/>
      <c r="G370" s="159"/>
      <c r="H370" s="159"/>
      <c r="I370" s="199"/>
      <c r="J370" s="160">
        <f t="shared" si="133"/>
        <v>12</v>
      </c>
      <c r="K370" s="55">
        <v>12</v>
      </c>
      <c r="M370" s="55" t="s">
        <v>54</v>
      </c>
      <c r="AA370" s="206" t="str">
        <f t="shared" ref="AA370:AA380" ca="1" si="135">INDIRECT(ADDRESS(ROW()+N_Offset_M,COLUMN(A370)+(N_SpracheAuswahl)*26,,,"Text"))</f>
        <v>Abrechnungsdatum</v>
      </c>
      <c r="AB370" s="206"/>
      <c r="AC370" s="206"/>
      <c r="AD370" s="63"/>
      <c r="AE370" s="295"/>
      <c r="AF370" s="206"/>
      <c r="AG370" s="206"/>
      <c r="AH370" s="206"/>
      <c r="AI370" s="301"/>
    </row>
    <row r="371" spans="1:35" hidden="1" x14ac:dyDescent="0.25">
      <c r="A371" s="159" t="str">
        <f t="shared" ca="1" si="134"/>
        <v>Versichertennummer (AHV-Nr.)</v>
      </c>
      <c r="B371" s="159"/>
      <c r="C371" s="159"/>
      <c r="E371" s="172" t="str">
        <f>'  B  '!C40</f>
        <v/>
      </c>
      <c r="F371" s="159"/>
      <c r="G371" s="159"/>
      <c r="H371" s="159"/>
      <c r="I371" s="159"/>
      <c r="J371" s="160">
        <f t="shared" si="133"/>
        <v>13</v>
      </c>
      <c r="K371" s="55">
        <v>13</v>
      </c>
      <c r="M371" s="55" t="s">
        <v>54</v>
      </c>
      <c r="N371" s="55" t="b">
        <f>'  B  '!C61=0</f>
        <v>1</v>
      </c>
      <c r="AA371" s="206" t="str">
        <f t="shared" ca="1" si="135"/>
        <v>Versichertennummer (AHV-Nr.)</v>
      </c>
      <c r="AB371" s="206"/>
      <c r="AC371" s="206"/>
      <c r="AD371" s="63"/>
      <c r="AE371" s="206"/>
      <c r="AF371" s="206"/>
      <c r="AG371" s="206"/>
      <c r="AH371" s="206"/>
      <c r="AI371" s="206"/>
    </row>
    <row r="372" spans="1:35" hidden="1" x14ac:dyDescent="0.25">
      <c r="A372" s="200" t="str">
        <f t="shared" ca="1" si="134"/>
        <v>Text</v>
      </c>
      <c r="B372" s="201"/>
      <c r="C372" s="201"/>
      <c r="D372" s="200"/>
      <c r="E372" s="250"/>
      <c r="F372" s="201"/>
      <c r="G372" s="200" t="str">
        <f ca="1">AG372</f>
        <v>Anzahl / %</v>
      </c>
      <c r="H372" s="200" t="str">
        <f ca="1">AH372</f>
        <v>Ansatz / Basis</v>
      </c>
      <c r="I372" s="202" t="str">
        <f ca="1">AI372</f>
        <v>Betrag</v>
      </c>
      <c r="J372" s="160">
        <f t="shared" ca="1" si="133"/>
        <v>14</v>
      </c>
      <c r="K372" s="55">
        <v>14</v>
      </c>
      <c r="L372" s="55" t="s">
        <v>36</v>
      </c>
      <c r="M372" s="55" t="s">
        <v>54</v>
      </c>
      <c r="AA372" s="206" t="str">
        <f t="shared" ca="1" si="135"/>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t="shared" ca="1" si="134"/>
        <v>Monatslohn</v>
      </c>
      <c r="B373" s="159"/>
      <c r="C373" s="159"/>
      <c r="D373" s="159"/>
      <c r="E373" s="159"/>
      <c r="F373" s="159"/>
      <c r="H373" s="203">
        <f ca="1">'  B  '!G59</f>
        <v>0</v>
      </c>
      <c r="I373" s="161">
        <f ca="1">'  B  '!G59/P2*(P2-SUM(U264:V294))</f>
        <v>0</v>
      </c>
      <c r="J373" s="160">
        <f t="shared" ca="1" si="133"/>
        <v>14</v>
      </c>
      <c r="K373" s="55">
        <v>15</v>
      </c>
      <c r="AA373" s="206" t="str">
        <f t="shared" ca="1" si="135"/>
        <v>Monatslohn</v>
      </c>
      <c r="AB373" s="206"/>
      <c r="AC373" s="206"/>
      <c r="AD373" s="206"/>
      <c r="AE373" s="206"/>
      <c r="AF373" s="206"/>
      <c r="AG373" s="63"/>
      <c r="AH373" s="203"/>
      <c r="AI373" s="296"/>
    </row>
    <row r="374" spans="1:35" hidden="1" x14ac:dyDescent="0.25">
      <c r="A374" s="159" t="str">
        <f t="shared" ca="1" si="134"/>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3"/>
        <v>14</v>
      </c>
      <c r="K374" s="55">
        <v>16</v>
      </c>
      <c r="N374" s="87"/>
      <c r="R374" s="163"/>
      <c r="AA374" s="206" t="str">
        <f t="shared" ca="1" si="135"/>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3"/>
        <v>14</v>
      </c>
      <c r="K375" s="55">
        <v>17</v>
      </c>
      <c r="AA375" s="206" t="str">
        <f t="shared" ca="1" si="135"/>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t="shared" ca="1" si="134"/>
        <v>Überstunden</v>
      </c>
      <c r="B376" s="159"/>
      <c r="C376" s="159"/>
      <c r="D376" s="159"/>
      <c r="F376" s="204"/>
      <c r="G376" s="162">
        <f>I36</f>
        <v>0</v>
      </c>
      <c r="H376" s="205">
        <f ca="1">'  B  '!G64</f>
        <v>0</v>
      </c>
      <c r="I376" s="161">
        <f ca="1">ROUND(2*(H376*G376),1)/2</f>
        <v>0</v>
      </c>
      <c r="J376" s="160">
        <f t="shared" ca="1" si="133"/>
        <v>14</v>
      </c>
      <c r="K376" s="55">
        <v>18</v>
      </c>
      <c r="R376" s="163"/>
      <c r="AA376" s="206" t="str">
        <f t="shared" ca="1" si="135"/>
        <v>Überstunden</v>
      </c>
      <c r="AB376" s="206"/>
      <c r="AC376" s="206"/>
      <c r="AD376" s="206"/>
      <c r="AE376" s="63"/>
      <c r="AF376" s="207"/>
      <c r="AG376" s="302"/>
      <c r="AH376" s="205"/>
      <c r="AI376" s="296"/>
    </row>
    <row r="377" spans="1:35" hidden="1" x14ac:dyDescent="0.25">
      <c r="A377" s="206" t="str">
        <f t="shared" ca="1" si="134"/>
        <v>Nachtpauschale</v>
      </c>
      <c r="B377" s="206"/>
      <c r="C377" s="206"/>
      <c r="D377" s="206"/>
      <c r="F377" s="207"/>
      <c r="G377" s="162">
        <f ca="1">IF(N_LohnartAuswahl=2,P30,0)</f>
        <v>0</v>
      </c>
      <c r="H377" s="205">
        <f>'  B  '!C61</f>
        <v>0</v>
      </c>
      <c r="I377" s="161">
        <f ca="1">IF(N_LohnartAuswahl=1,0,H377*G377)</f>
        <v>0</v>
      </c>
      <c r="J377" s="160">
        <f t="shared" ca="1" si="133"/>
        <v>14</v>
      </c>
      <c r="K377" s="55">
        <v>19</v>
      </c>
      <c r="R377" s="163"/>
      <c r="AA377" s="206" t="str">
        <f t="shared" ca="1" si="135"/>
        <v>Nachtpauschale</v>
      </c>
      <c r="AB377" s="206"/>
      <c r="AC377" s="206"/>
      <c r="AD377" s="206"/>
      <c r="AE377" s="63"/>
      <c r="AF377" s="207"/>
      <c r="AG377" s="302"/>
      <c r="AH377" s="205"/>
      <c r="AI377" s="296"/>
    </row>
    <row r="378" spans="1:35" hidden="1" x14ac:dyDescent="0.25">
      <c r="A378" s="159" t="str">
        <f t="shared" ca="1" si="134"/>
        <v>Lohnfortzahlung bei Arbeitsunfähigkeit</v>
      </c>
      <c r="B378" s="159"/>
      <c r="C378" s="159"/>
      <c r="D378" s="159"/>
      <c r="F378" s="164"/>
      <c r="G378" s="162"/>
      <c r="H378" s="274"/>
      <c r="I378" s="161">
        <f ca="1">ROUND(IF(N_LohnartAuswahl=1,-CA298,CF298)*2,1)/2</f>
        <v>0</v>
      </c>
      <c r="J378" s="160">
        <f t="shared" ca="1" si="133"/>
        <v>14</v>
      </c>
      <c r="K378" s="55">
        <v>20</v>
      </c>
      <c r="R378" s="163"/>
      <c r="AA378" s="206" t="str">
        <f t="shared" ca="1" si="135"/>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3"/>
        <v>14</v>
      </c>
      <c r="K379" s="55">
        <v>21</v>
      </c>
      <c r="L379" s="55" t="s">
        <v>525</v>
      </c>
      <c r="M379" s="275" t="str">
        <f ca="1">IF(NOT(I378=0),"F","")</f>
        <v/>
      </c>
      <c r="R379" s="163"/>
      <c r="AA379" s="206">
        <f t="shared" ca="1" si="135"/>
        <v>0</v>
      </c>
      <c r="AB379" s="206"/>
      <c r="AC379" s="206"/>
      <c r="AD379" s="206"/>
      <c r="AE379" s="63"/>
      <c r="AF379" s="303"/>
      <c r="AG379" s="302"/>
      <c r="AH379" s="166"/>
      <c r="AI379" s="296"/>
    </row>
    <row r="380" spans="1:35" hidden="1" x14ac:dyDescent="0.25">
      <c r="A380" s="159" t="str">
        <f t="shared" ca="1" si="134"/>
        <v>Ferienentschädigung</v>
      </c>
      <c r="B380" s="159"/>
      <c r="C380" s="159"/>
      <c r="D380" s="159"/>
      <c r="F380" s="164"/>
      <c r="G380" s="273">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3"/>
        <v>14</v>
      </c>
      <c r="K380" s="55">
        <v>22</v>
      </c>
      <c r="R380" s="163"/>
      <c r="AA380" s="206" t="str">
        <f t="shared" ca="1" si="135"/>
        <v>Ferienentschädigung</v>
      </c>
      <c r="AB380" s="206"/>
      <c r="AC380" s="206"/>
      <c r="AD380" s="206"/>
      <c r="AE380" s="63"/>
      <c r="AF380" s="303"/>
      <c r="AG380" s="304"/>
      <c r="AH380" s="205"/>
      <c r="AI380" s="296"/>
    </row>
    <row r="381" spans="1:35" hidden="1" x14ac:dyDescent="0.25">
      <c r="A381" s="159"/>
      <c r="B381" s="159"/>
      <c r="C381" s="159"/>
      <c r="D381" s="159"/>
      <c r="F381" s="164"/>
      <c r="G381" s="273"/>
      <c r="H381" s="205"/>
      <c r="I381" s="161"/>
      <c r="J381" s="160">
        <f t="shared" ca="1" si="133"/>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69"/>
      <c r="H382" s="159"/>
      <c r="I382" s="597">
        <f ca="1">IF(ISNUMBER(I33),I33,0)-IF(AND(ISNUMBER(I33),VLOOKUP('  B  '!C$65,A_JaNein_Auswahl,2,0)=1),ROUND(2*I33/13,1)/2,0)</f>
        <v>0</v>
      </c>
      <c r="J382" s="160">
        <f t="shared" ca="1" si="133"/>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597">
        <f ca="1">IF(ISNUMBER(I35),I35,0)-IF(AND(ISNUMBER(I35),VLOOKUP('  B  '!C$65,A_JaNein_Auswahl,2,0)=1),ROUND(2*I35/13,1)/2,0)</f>
        <v>0</v>
      </c>
      <c r="J383" s="160">
        <f t="shared" ca="1" si="133"/>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597">
        <f ca="1">IF(AND(ISNUMBER(I33),VLOOKUP('  B  '!C$65,A_JaNein_Auswahl,2,0)=1),ROUND(2*I33/13,1)/2,0)+IF(AND(ISNUMBER(I35),VLOOKUP('  B  '!C$65,A_JaNein_Auswahl,2,0)=1),ROUND(2*I35/13,1)/2,0)</f>
        <v>0</v>
      </c>
      <c r="J384" s="160">
        <f t="shared" ca="1" si="133"/>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598">
        <f ca="1">MAX(0,MIN(P$1+P$2-1,N_Anstellung_Ende)-MAX(P$1,N_Anstellung_Beginn)+1)/P$2*H385</f>
        <v>0</v>
      </c>
      <c r="J385" s="160">
        <f t="shared" ca="1" si="133"/>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3"/>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3"/>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3"/>
        <v>14</v>
      </c>
      <c r="K388" s="55">
        <v>30</v>
      </c>
      <c r="N388" s="87"/>
      <c r="R388" s="163"/>
      <c r="AA388" s="206"/>
      <c r="AB388" s="206"/>
      <c r="AC388" s="206"/>
      <c r="AD388" s="63"/>
      <c r="AE388" s="63"/>
      <c r="AF388" s="206"/>
      <c r="AG388" s="206"/>
      <c r="AH388" s="197"/>
      <c r="AI388" s="296"/>
    </row>
    <row r="389" spans="1:35" hidden="1" x14ac:dyDescent="0.25">
      <c r="A389" s="600" t="str">
        <f ca="1">"      "&amp;IF(P315=1,G315,"")</f>
        <v xml:space="preserve">      </v>
      </c>
      <c r="B389" s="159"/>
      <c r="C389" s="159"/>
      <c r="D389" s="159"/>
      <c r="F389" s="159"/>
      <c r="G389" s="159"/>
      <c r="H389" s="197"/>
      <c r="I389" s="161"/>
      <c r="J389" s="160">
        <f t="shared" ca="1" si="133"/>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3"/>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600" t="str">
        <f ca="1">"      "&amp;IF(P316=1,G316,"")</f>
        <v xml:space="preserve">      Nachtpauschale</v>
      </c>
      <c r="B391" s="159"/>
      <c r="C391" s="159"/>
      <c r="D391" s="159"/>
      <c r="F391" s="197"/>
      <c r="G391" s="159"/>
      <c r="H391" s="197"/>
      <c r="I391" s="161"/>
      <c r="J391" s="160">
        <f t="shared" ca="1" si="133"/>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3"/>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3"/>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600" t="str">
        <f ca="1">"      "&amp;IF(P317=1,G317,"")</f>
        <v xml:space="preserve">      </v>
      </c>
      <c r="B394" s="159"/>
      <c r="C394" s="159"/>
      <c r="D394" s="159"/>
      <c r="F394" s="164"/>
      <c r="G394" s="162"/>
      <c r="H394" s="166"/>
      <c r="I394" s="161"/>
      <c r="J394" s="160">
        <f t="shared" ca="1" si="133"/>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598">
        <f ca="1">IF(P326=1,F326,0)</f>
        <v>0</v>
      </c>
      <c r="J395" s="160">
        <f t="shared" ca="1" si="133"/>
        <v>14</v>
      </c>
      <c r="K395" s="55">
        <v>37</v>
      </c>
      <c r="AA395" s="208"/>
      <c r="AB395" s="206"/>
      <c r="AC395" s="206"/>
      <c r="AD395" s="206"/>
      <c r="AE395" s="63"/>
      <c r="AF395" s="206"/>
      <c r="AG395" s="206"/>
      <c r="AH395" s="206"/>
      <c r="AI395" s="266"/>
    </row>
    <row r="396" spans="1:35" hidden="1" x14ac:dyDescent="0.25">
      <c r="A396" s="599" t="str">
        <f ca="1">"      "&amp;IF(P326=1,G326,"")</f>
        <v xml:space="preserve">      </v>
      </c>
      <c r="B396" s="159"/>
      <c r="C396" s="159"/>
      <c r="D396" s="159"/>
      <c r="F396" s="159"/>
      <c r="G396" s="159"/>
      <c r="H396" s="159"/>
      <c r="I396" s="598"/>
      <c r="J396" s="160">
        <f t="shared" ca="1" si="133"/>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598">
        <f ca="1">IF(P327=1,F327,0)</f>
        <v>0</v>
      </c>
      <c r="J397" s="160">
        <f t="shared" ca="1" si="133"/>
        <v>14</v>
      </c>
      <c r="K397" s="55">
        <v>39</v>
      </c>
      <c r="AA397" s="208"/>
      <c r="AB397" s="206"/>
      <c r="AC397" s="206"/>
      <c r="AD397" s="206"/>
      <c r="AE397" s="63"/>
      <c r="AF397" s="206"/>
      <c r="AG397" s="206"/>
      <c r="AH397" s="206"/>
      <c r="AI397" s="266"/>
    </row>
    <row r="398" spans="1:35" hidden="1" x14ac:dyDescent="0.25">
      <c r="A398" s="599" t="str">
        <f ca="1">"      "&amp;IF(P327=1,G327,"")</f>
        <v xml:space="preserve">      </v>
      </c>
      <c r="B398" s="159"/>
      <c r="C398" s="159"/>
      <c r="D398" s="159"/>
      <c r="F398" s="159"/>
      <c r="G398" s="159"/>
      <c r="H398" s="159"/>
      <c r="I398" s="598"/>
      <c r="J398" s="160">
        <f t="shared" ca="1" si="133"/>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598">
        <f ca="1">IF(P325=1,F325,0)</f>
        <v>0</v>
      </c>
      <c r="J399" s="160">
        <f t="shared" ca="1" si="133"/>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600" t="str">
        <f ca="1">"      "&amp;IF(P325=1,G325,"")</f>
        <v xml:space="preserve">      </v>
      </c>
      <c r="B400" s="159"/>
      <c r="C400" s="159"/>
      <c r="D400" s="159"/>
      <c r="F400" s="159"/>
      <c r="G400" s="159"/>
      <c r="H400" s="197"/>
      <c r="I400" s="598"/>
      <c r="J400" s="160">
        <f t="shared" ca="1" si="133"/>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3"/>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3"/>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3"/>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3"/>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3"/>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6">AA406</f>
        <v>Sozialversicherungsabzüge</v>
      </c>
      <c r="B406" s="159"/>
      <c r="C406" s="159"/>
      <c r="D406" s="159"/>
      <c r="F406" s="159"/>
      <c r="G406" s="159"/>
      <c r="H406" s="197"/>
      <c r="I406" s="159"/>
      <c r="J406" s="160">
        <f t="shared" ca="1" si="133"/>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7">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6"/>
        <v>AHV/IV/EO</v>
      </c>
      <c r="B407" s="159"/>
      <c r="C407" s="159"/>
      <c r="D407" s="159"/>
      <c r="F407" s="159"/>
      <c r="G407" s="632">
        <f>'  B  '!D71</f>
        <v>5.2999999999999999E-2</v>
      </c>
      <c r="H407" s="205">
        <f ca="1">MAX(0,P404-P406*N_Pensioniert_Freibetrag)</f>
        <v>0</v>
      </c>
      <c r="I407" s="169">
        <f ca="1">-ROUND((G407*H407)*2,1)/2</f>
        <v>0</v>
      </c>
      <c r="J407" s="160">
        <f t="shared" ca="1" si="133"/>
        <v>18</v>
      </c>
      <c r="K407" s="55">
        <v>49</v>
      </c>
      <c r="P407" s="646">
        <f ca="1">-'  B  '!C71*MAX(0,P404-P406*N_Pensioniert_Freibetrag)</f>
        <v>0</v>
      </c>
      <c r="Q407" s="633" t="s">
        <v>1232</v>
      </c>
      <c r="R407" s="163"/>
      <c r="AA407" s="206" t="str">
        <f t="shared" ca="1" si="137"/>
        <v>AHV/IV/EO</v>
      </c>
      <c r="AB407" s="206"/>
      <c r="AC407" s="206"/>
      <c r="AD407" s="206"/>
      <c r="AE407" s="63"/>
      <c r="AF407" s="206"/>
      <c r="AG407" s="306"/>
      <c r="AH407" s="205"/>
      <c r="AI407" s="266"/>
    </row>
    <row r="408" spans="1:35" hidden="1" x14ac:dyDescent="0.25">
      <c r="A408" s="159" t="str">
        <f t="shared" ca="1" si="136"/>
        <v>Arbeitslosenversicherung (ALV)</v>
      </c>
      <c r="B408" s="159"/>
      <c r="C408" s="159"/>
      <c r="D408" s="159"/>
      <c r="F408" s="159"/>
      <c r="G408" s="168">
        <f>'  B  '!D72*NOT(P406)</f>
        <v>1.0999999999999999E-2</v>
      </c>
      <c r="H408" s="205">
        <f ca="1">P404</f>
        <v>0</v>
      </c>
      <c r="I408" s="169">
        <f ca="1">-ROUND((G408*H408)*2,1)/2</f>
        <v>0</v>
      </c>
      <c r="J408" s="160">
        <f t="shared" ca="1" si="133"/>
        <v>18</v>
      </c>
      <c r="K408" s="55">
        <v>50</v>
      </c>
      <c r="P408" s="646">
        <f ca="1">-NOT(P406)*'  B  '!C72*P404</f>
        <v>0</v>
      </c>
      <c r="Q408" s="633" t="s">
        <v>1233</v>
      </c>
      <c r="R408" s="163"/>
      <c r="AA408" s="206" t="str">
        <f t="shared" ca="1" si="137"/>
        <v>Arbeitslosenversicherung (ALV)</v>
      </c>
      <c r="AB408" s="206"/>
      <c r="AC408" s="206"/>
      <c r="AD408" s="206"/>
      <c r="AE408" s="63"/>
      <c r="AF408" s="206"/>
      <c r="AG408" s="306"/>
      <c r="AH408" s="205"/>
      <c r="AI408" s="266"/>
    </row>
    <row r="409" spans="1:35" hidden="1" x14ac:dyDescent="0.25">
      <c r="A409" s="67" t="str">
        <f t="shared" ca="1" si="136"/>
        <v>Familienausgleichskasse</v>
      </c>
      <c r="B409" s="159"/>
      <c r="C409" s="159"/>
      <c r="D409" s="159"/>
      <c r="F409" s="159"/>
      <c r="G409" s="168">
        <f>'  B  '!D81</f>
        <v>0</v>
      </c>
      <c r="H409" s="205">
        <f ca="1">P404</f>
        <v>0</v>
      </c>
      <c r="I409" s="169">
        <f ca="1">-ROUND((G409*H409)*2,1)/2</f>
        <v>0</v>
      </c>
      <c r="J409" s="160">
        <f t="shared" ca="1" si="133"/>
        <v>18</v>
      </c>
      <c r="K409" s="55">
        <v>51</v>
      </c>
      <c r="P409" s="646">
        <f ca="1">-'  B  '!C81*MAX(0,P404-P406*N_Pensioniert_Freibetrag)</f>
        <v>0</v>
      </c>
      <c r="Q409" s="633" t="s">
        <v>1234</v>
      </c>
      <c r="R409" s="163"/>
      <c r="AA409" s="170" t="str">
        <f t="shared" ca="1" si="137"/>
        <v>Familienausgleichskasse</v>
      </c>
      <c r="AB409" s="206"/>
      <c r="AC409" s="206"/>
      <c r="AD409" s="206"/>
      <c r="AE409" s="63"/>
      <c r="AF409" s="206"/>
      <c r="AG409" s="306"/>
      <c r="AH409" s="205"/>
      <c r="AI409" s="266"/>
    </row>
    <row r="410" spans="1:35" hidden="1" x14ac:dyDescent="0.25">
      <c r="A410" s="159" t="str">
        <f t="shared" ca="1" si="136"/>
        <v>Berufliche Vorsorge (Pensionskassenbeitrag)</v>
      </c>
      <c r="B410" s="159"/>
      <c r="C410" s="159"/>
      <c r="D410" s="159"/>
      <c r="F410" s="159"/>
      <c r="H410" s="209">
        <f>'  B  '!D80</f>
        <v>0</v>
      </c>
      <c r="I410" s="169">
        <f ca="1">-MAX(0,MIN(P$1+P$2-1,N_Anstellung_Ende)-MAX(P$1,N_Anstellung_Beginn)+1)/P$2*H410</f>
        <v>0</v>
      </c>
      <c r="J410" s="160">
        <f t="shared" ca="1" si="133"/>
        <v>18</v>
      </c>
      <c r="K410" s="55">
        <v>52</v>
      </c>
      <c r="P410" s="647">
        <f ca="1">-'  B  '!C80*(MAX(0,MIN(P$1+P$2-1,N_Anstellung_Ende)-MAX(P$1,N_Anstellung_Beginn)+1)/P$2)</f>
        <v>0</v>
      </c>
      <c r="Q410" s="633" t="s">
        <v>1235</v>
      </c>
      <c r="R410" s="163"/>
      <c r="AA410" s="206" t="str">
        <f t="shared" ca="1" si="137"/>
        <v>Berufliche Vorsorge (Pensionskassenbeitrag)</v>
      </c>
      <c r="AB410" s="206"/>
      <c r="AC410" s="206"/>
      <c r="AD410" s="206"/>
      <c r="AE410" s="63"/>
      <c r="AF410" s="206"/>
      <c r="AG410" s="297"/>
      <c r="AH410" s="205"/>
      <c r="AI410" s="266"/>
    </row>
    <row r="411" spans="1:35" hidden="1" x14ac:dyDescent="0.25">
      <c r="A411" s="159" t="str">
        <f t="shared" ca="1" si="136"/>
        <v>Nichtberufsunfallversicherung (NBU)</v>
      </c>
      <c r="B411" s="159"/>
      <c r="C411" s="159"/>
      <c r="D411" s="159"/>
      <c r="F411" s="210"/>
      <c r="G411" s="211">
        <f>'  B  '!D79</f>
        <v>0</v>
      </c>
      <c r="H411" s="205">
        <f ca="1">P404</f>
        <v>0</v>
      </c>
      <c r="I411" s="169">
        <f ca="1">-ROUND((G411*H411)*2,1)/2</f>
        <v>0</v>
      </c>
      <c r="J411" s="160">
        <f t="shared" ca="1" si="133"/>
        <v>18</v>
      </c>
      <c r="K411" s="55">
        <v>53</v>
      </c>
      <c r="P411" s="646">
        <f ca="1">-'  B  '!C79*P404</f>
        <v>0</v>
      </c>
      <c r="Q411" s="633" t="s">
        <v>1236</v>
      </c>
      <c r="R411" s="163"/>
      <c r="AA411" s="206" t="str">
        <f t="shared" ca="1" si="137"/>
        <v>Nichtberufsunfallversicherung (NBU)</v>
      </c>
      <c r="AB411" s="206"/>
      <c r="AC411" s="206"/>
      <c r="AD411" s="206"/>
      <c r="AE411" s="63"/>
      <c r="AF411" s="307"/>
      <c r="AG411" s="298"/>
      <c r="AH411" s="205"/>
      <c r="AI411" s="266"/>
    </row>
    <row r="412" spans="1:35" hidden="1" x14ac:dyDescent="0.25">
      <c r="A412" s="159" t="str">
        <f t="shared" ca="1" si="136"/>
        <v>Krankentaggeldversicherung</v>
      </c>
      <c r="B412" s="159"/>
      <c r="C412" s="159"/>
      <c r="D412" s="159"/>
      <c r="F412" s="210"/>
      <c r="G412" s="211">
        <f>'  B  '!D82</f>
        <v>0</v>
      </c>
      <c r="H412" s="205">
        <f ca="1">P404</f>
        <v>0</v>
      </c>
      <c r="I412" s="169">
        <f ca="1">-ROUND((G412*H412)*2,1)/2</f>
        <v>0</v>
      </c>
      <c r="J412" s="160">
        <f t="shared" ca="1" si="133"/>
        <v>18</v>
      </c>
      <c r="K412" s="55">
        <v>54</v>
      </c>
      <c r="P412" s="646">
        <f ca="1">-'  B  '!C82*P404</f>
        <v>0</v>
      </c>
      <c r="Q412" s="633" t="s">
        <v>1237</v>
      </c>
      <c r="AA412" s="206" t="str">
        <f t="shared" ca="1" si="137"/>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3"/>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3"/>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3"/>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600" t="str">
        <f ca="1">"      "&amp;IF(P319=1,G319,"")</f>
        <v xml:space="preserve">      </v>
      </c>
      <c r="B416" s="159"/>
      <c r="C416" s="159"/>
      <c r="D416" s="159"/>
      <c r="F416" s="210"/>
      <c r="G416" s="211"/>
      <c r="H416" s="205"/>
      <c r="I416" s="169"/>
      <c r="J416" s="160">
        <f t="shared" ca="1" si="133"/>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3"/>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600" t="str">
        <f ca="1">"      "&amp;IF(P320=1,G320,"")</f>
        <v xml:space="preserve">      </v>
      </c>
      <c r="B418" s="159"/>
      <c r="C418" s="159"/>
      <c r="D418" s="159"/>
      <c r="F418" s="210"/>
      <c r="G418" s="211"/>
      <c r="H418" s="205"/>
      <c r="I418" s="169"/>
      <c r="J418" s="160">
        <f t="shared" ca="1" si="133"/>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3"/>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600" t="str">
        <f ca="1">"      "&amp;IF(P321=1,G321,"")</f>
        <v xml:space="preserve">      </v>
      </c>
      <c r="B420" s="159"/>
      <c r="C420" s="159"/>
      <c r="D420" s="159"/>
      <c r="F420" s="210"/>
      <c r="G420" s="211"/>
      <c r="H420" s="205"/>
      <c r="I420" s="169"/>
      <c r="J420" s="160">
        <f t="shared" ca="1" si="133"/>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3"/>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600" t="str">
        <f ca="1">"      "&amp;IF(P322=1,G322,"")</f>
        <v xml:space="preserve">      </v>
      </c>
      <c r="B422" s="159"/>
      <c r="C422" s="159"/>
      <c r="D422" s="159"/>
      <c r="F422" s="210"/>
      <c r="G422" s="211"/>
      <c r="H422" s="205"/>
      <c r="I422" s="169"/>
      <c r="J422" s="160">
        <f t="shared" ca="1" si="133"/>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3"/>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600" t="str">
        <f ca="1">"      "&amp;IF(P323=1,G323,"")</f>
        <v xml:space="preserve">      </v>
      </c>
      <c r="B424" s="159"/>
      <c r="C424" s="159"/>
      <c r="D424" s="159"/>
      <c r="F424" s="210"/>
      <c r="G424" s="211"/>
      <c r="H424" s="205"/>
      <c r="I424" s="169"/>
      <c r="J424" s="160">
        <f t="shared" ca="1" si="133"/>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3"/>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600" t="str">
        <f ca="1">"      "&amp;IF(P324=1,G324,"")</f>
        <v xml:space="preserve">      </v>
      </c>
      <c r="B426" s="159"/>
      <c r="C426" s="159"/>
      <c r="D426" s="159"/>
      <c r="F426" s="210"/>
      <c r="G426" s="211"/>
      <c r="H426" s="205"/>
      <c r="I426" s="169"/>
      <c r="J426" s="160">
        <f t="shared" ca="1" si="133"/>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3"/>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ca="1" si="133"/>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3"/>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3"/>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3"/>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3"/>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3"/>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600" t="str">
        <f>"      "&amp;F40</f>
        <v xml:space="preserve">      </v>
      </c>
      <c r="B434" s="159"/>
      <c r="C434" s="159"/>
      <c r="D434" s="159"/>
      <c r="F434" s="159"/>
      <c r="G434" s="168"/>
      <c r="H434" s="205"/>
      <c r="I434" s="169"/>
      <c r="J434" s="160">
        <f t="shared" ca="1" si="133"/>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3"/>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3"/>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3"/>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3"/>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600" t="str">
        <f ca="1">"      "&amp;IF(P328=1,G328,"")</f>
        <v xml:space="preserve">      </v>
      </c>
      <c r="B439" s="159"/>
      <c r="C439" s="159"/>
      <c r="D439" s="159"/>
      <c r="F439" s="159"/>
      <c r="G439" s="159"/>
      <c r="H439" s="159"/>
      <c r="I439" s="169"/>
      <c r="J439" s="160">
        <f t="shared" ca="1" si="133"/>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3"/>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600" t="str">
        <f ca="1">"      "&amp;IF(P329=1,G329,"")</f>
        <v xml:space="preserve">      </v>
      </c>
      <c r="B441" s="159"/>
      <c r="C441" s="159"/>
      <c r="D441" s="159"/>
      <c r="F441" s="159"/>
      <c r="G441" s="159"/>
      <c r="H441" s="197"/>
      <c r="I441" s="169"/>
      <c r="J441" s="160">
        <f t="shared" ca="1" si="133"/>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3"/>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3"/>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3"/>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600" t="str">
        <f>"      "&amp;F42</f>
        <v xml:space="preserve">      </v>
      </c>
      <c r="B445" s="206"/>
      <c r="D445" s="170"/>
      <c r="F445" s="206"/>
      <c r="G445" s="206"/>
      <c r="H445" s="206"/>
      <c r="I445" s="169"/>
      <c r="J445" s="160">
        <f t="shared" ca="1" si="133"/>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3"/>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3"/>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3"/>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3"/>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3"/>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3"/>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3"/>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3"/>
        <v>28</v>
      </c>
      <c r="K453" s="55">
        <v>95</v>
      </c>
      <c r="M453" s="55" t="s">
        <v>54</v>
      </c>
      <c r="AA453" s="206"/>
      <c r="AB453" s="206"/>
      <c r="AC453" s="206"/>
      <c r="AD453" s="299"/>
      <c r="AE453" s="206"/>
      <c r="AF453" s="206"/>
      <c r="AG453" s="206"/>
      <c r="AH453" s="206"/>
      <c r="AI453" s="206"/>
    </row>
    <row r="454" spans="1:35" hidden="1" x14ac:dyDescent="0.25">
      <c r="A454" s="601">
        <f>F44</f>
        <v>0</v>
      </c>
      <c r="B454" s="159"/>
      <c r="C454" s="159"/>
      <c r="D454" s="159"/>
      <c r="E454" s="159"/>
      <c r="F454" s="159"/>
      <c r="G454" s="159"/>
      <c r="H454" s="159"/>
      <c r="I454" s="159"/>
      <c r="J454" s="160">
        <f ca="1">OR(NOT(I454=0),M454="F")*1+J453</f>
        <v>28</v>
      </c>
      <c r="K454" s="55">
        <v>96</v>
      </c>
      <c r="M454" s="294" t="str">
        <f>IF(A454=0,"","F")</f>
        <v/>
      </c>
      <c r="AA454" s="173"/>
      <c r="AB454" s="206"/>
      <c r="AC454" s="206"/>
      <c r="AD454" s="206"/>
      <c r="AE454" s="206"/>
      <c r="AF454" s="206"/>
      <c r="AG454" s="206"/>
      <c r="AH454" s="206"/>
      <c r="AI454" s="206"/>
    </row>
    <row r="455" spans="1:35" hidden="1" x14ac:dyDescent="0.25">
      <c r="A455" s="601">
        <f>F45</f>
        <v>0</v>
      </c>
      <c r="B455" s="159"/>
      <c r="C455" s="159"/>
      <c r="D455" s="159"/>
      <c r="E455" s="159"/>
      <c r="F455" s="159"/>
      <c r="G455" s="159"/>
      <c r="H455" s="159"/>
      <c r="I455" s="159"/>
      <c r="J455" s="160">
        <f ca="1">OR(NOT(I455=0),M455="F")*1+J454</f>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ca="1">OR(NOT(I456=0),M456="F")*1+J455</f>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ca="1">OR(NOT(I457=0),M457="F")*1+J456</f>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mLPtsWZ48LHt9f6J9EDI75rn6uyvdOKQxKY/QCxdsSKWt0MwbZz+TaMS3O5dSjUmKEVdEj/JWWTS+YZoqzd5Rw==" saltValue="00ZgZ2Fq8cucXfVfcqG4tA==" spinCount="100000" sheet="1" objects="1" scenarios="1"/>
  <mergeCells count="310">
    <mergeCell ref="A135:G135"/>
    <mergeCell ref="A136:G136"/>
    <mergeCell ref="A137:G137"/>
    <mergeCell ref="A159:E159"/>
    <mergeCell ref="A160:E160"/>
    <mergeCell ref="A161:E161"/>
    <mergeCell ref="A162:E162"/>
    <mergeCell ref="F162:I162"/>
    <mergeCell ref="A163:E163"/>
    <mergeCell ref="A164:E164"/>
    <mergeCell ref="A157:J157"/>
    <mergeCell ref="A151:D151"/>
    <mergeCell ref="A154:D154"/>
    <mergeCell ref="A155:D155"/>
    <mergeCell ref="A243:J243"/>
    <mergeCell ref="A128:G128"/>
    <mergeCell ref="A138:G138"/>
    <mergeCell ref="A139:G139"/>
    <mergeCell ref="A140:G140"/>
    <mergeCell ref="A141:G141"/>
    <mergeCell ref="A142:G142"/>
    <mergeCell ref="A143:G143"/>
    <mergeCell ref="E231:F231"/>
    <mergeCell ref="E241:F241"/>
    <mergeCell ref="A144:G144"/>
    <mergeCell ref="A129:G129"/>
    <mergeCell ref="A130:G130"/>
    <mergeCell ref="A131:G131"/>
    <mergeCell ref="A132:G132"/>
    <mergeCell ref="A133:G133"/>
    <mergeCell ref="A134:G134"/>
    <mergeCell ref="A174:E174"/>
    <mergeCell ref="A175:E175"/>
    <mergeCell ref="A116:G116"/>
    <mergeCell ref="A120:G120"/>
    <mergeCell ref="A121:G121"/>
    <mergeCell ref="A122:G122"/>
    <mergeCell ref="A123:G123"/>
    <mergeCell ref="A124:G124"/>
    <mergeCell ref="A125:G125"/>
    <mergeCell ref="A126:G126"/>
    <mergeCell ref="A127:G127"/>
    <mergeCell ref="A107:G107"/>
    <mergeCell ref="A108:G108"/>
    <mergeCell ref="A109:G109"/>
    <mergeCell ref="A110:G110"/>
    <mergeCell ref="A111:G111"/>
    <mergeCell ref="A112:G112"/>
    <mergeCell ref="A113:G113"/>
    <mergeCell ref="A114:G114"/>
    <mergeCell ref="A115:G115"/>
    <mergeCell ref="A98:G98"/>
    <mergeCell ref="A99:G99"/>
    <mergeCell ref="A100:G100"/>
    <mergeCell ref="A101:G101"/>
    <mergeCell ref="A102:G102"/>
    <mergeCell ref="A103:G103"/>
    <mergeCell ref="A104:G104"/>
    <mergeCell ref="A105:G105"/>
    <mergeCell ref="A106:G106"/>
    <mergeCell ref="A27:D27"/>
    <mergeCell ref="A35:D35"/>
    <mergeCell ref="A43:D43"/>
    <mergeCell ref="A202:D202"/>
    <mergeCell ref="A216:D216"/>
    <mergeCell ref="A214:D214"/>
    <mergeCell ref="G216:I216"/>
    <mergeCell ref="A207:D207"/>
    <mergeCell ref="A209:D209"/>
    <mergeCell ref="A210:D210"/>
    <mergeCell ref="A211:D211"/>
    <mergeCell ref="A208:D208"/>
    <mergeCell ref="A203:D203"/>
    <mergeCell ref="A204:D204"/>
    <mergeCell ref="A206:D206"/>
    <mergeCell ref="A205:D205"/>
    <mergeCell ref="A182:E182"/>
    <mergeCell ref="A183:E183"/>
    <mergeCell ref="A184:E184"/>
    <mergeCell ref="A185:E185"/>
    <mergeCell ref="A158:E158"/>
    <mergeCell ref="A169:E169"/>
    <mergeCell ref="A96:G96"/>
    <mergeCell ref="A97:G97"/>
    <mergeCell ref="E43:H43"/>
    <mergeCell ref="F32:H32"/>
    <mergeCell ref="A42:E42"/>
    <mergeCell ref="F42:I42"/>
    <mergeCell ref="A44:E44"/>
    <mergeCell ref="A45:E45"/>
    <mergeCell ref="F44:I44"/>
    <mergeCell ref="F45:I45"/>
    <mergeCell ref="F33:H33"/>
    <mergeCell ref="A34:D34"/>
    <mergeCell ref="F34:H34"/>
    <mergeCell ref="A39:D39"/>
    <mergeCell ref="A36:D36"/>
    <mergeCell ref="A64:G64"/>
    <mergeCell ref="A65:G65"/>
    <mergeCell ref="A66:G66"/>
    <mergeCell ref="A67:G67"/>
    <mergeCell ref="A148:I148"/>
    <mergeCell ref="A149:I149"/>
    <mergeCell ref="H147:I147"/>
    <mergeCell ref="A117:G117"/>
    <mergeCell ref="A118:G118"/>
    <mergeCell ref="A119:G119"/>
    <mergeCell ref="A72:G72"/>
    <mergeCell ref="A73:G73"/>
    <mergeCell ref="A74:G74"/>
    <mergeCell ref="A75:G75"/>
    <mergeCell ref="A76:G76"/>
    <mergeCell ref="A77:G77"/>
    <mergeCell ref="A78:G78"/>
    <mergeCell ref="A79:G79"/>
    <mergeCell ref="A80:G80"/>
    <mergeCell ref="A81:G81"/>
    <mergeCell ref="A93:G93"/>
    <mergeCell ref="A94:G94"/>
    <mergeCell ref="A82:G82"/>
    <mergeCell ref="A68:G68"/>
    <mergeCell ref="B13:I13"/>
    <mergeCell ref="B14:I14"/>
    <mergeCell ref="B15:I15"/>
    <mergeCell ref="B16:I16"/>
    <mergeCell ref="B17:I17"/>
    <mergeCell ref="B18:I18"/>
    <mergeCell ref="F40:I40"/>
    <mergeCell ref="A41:D41"/>
    <mergeCell ref="E41:F41"/>
    <mergeCell ref="E31:F31"/>
    <mergeCell ref="E30:F30"/>
    <mergeCell ref="E29:F29"/>
    <mergeCell ref="A30:D30"/>
    <mergeCell ref="A31:D31"/>
    <mergeCell ref="A32:D32"/>
    <mergeCell ref="A33:D33"/>
    <mergeCell ref="F35:H35"/>
    <mergeCell ref="H21:I21"/>
    <mergeCell ref="E28:F28"/>
    <mergeCell ref="E27:F27"/>
    <mergeCell ref="A28:D28"/>
    <mergeCell ref="A25:H25"/>
    <mergeCell ref="A26:I26"/>
    <mergeCell ref="A29:D29"/>
    <mergeCell ref="A69:G69"/>
    <mergeCell ref="A70:G70"/>
    <mergeCell ref="A71:G71"/>
    <mergeCell ref="A177:E177"/>
    <mergeCell ref="A180:E180"/>
    <mergeCell ref="A181:E181"/>
    <mergeCell ref="A186:E186"/>
    <mergeCell ref="A187:E187"/>
    <mergeCell ref="A85:G85"/>
    <mergeCell ref="A86:G86"/>
    <mergeCell ref="A87:G87"/>
    <mergeCell ref="A88:G88"/>
    <mergeCell ref="A89:G89"/>
    <mergeCell ref="A90:G90"/>
    <mergeCell ref="A91:G91"/>
    <mergeCell ref="A92:G92"/>
    <mergeCell ref="A95:G95"/>
    <mergeCell ref="A83:G83"/>
    <mergeCell ref="A84:G84"/>
    <mergeCell ref="A170:E170"/>
    <mergeCell ref="A171:E171"/>
    <mergeCell ref="A172:E172"/>
    <mergeCell ref="A167:E167"/>
    <mergeCell ref="A152:D152"/>
    <mergeCell ref="A176:E176"/>
    <mergeCell ref="A165:E165"/>
    <mergeCell ref="A166:E166"/>
    <mergeCell ref="G228:I228"/>
    <mergeCell ref="A220:D220"/>
    <mergeCell ref="A221:D221"/>
    <mergeCell ref="A218:D218"/>
    <mergeCell ref="A219:D219"/>
    <mergeCell ref="A178:E178"/>
    <mergeCell ref="G218:I218"/>
    <mergeCell ref="A217:D217"/>
    <mergeCell ref="G217:I217"/>
    <mergeCell ref="A215:D215"/>
    <mergeCell ref="A173:E173"/>
    <mergeCell ref="G230:H230"/>
    <mergeCell ref="G220:H220"/>
    <mergeCell ref="A227:D227"/>
    <mergeCell ref="G227:I227"/>
    <mergeCell ref="A225:D225"/>
    <mergeCell ref="A226:D226"/>
    <mergeCell ref="A228:D228"/>
    <mergeCell ref="A229:D229"/>
    <mergeCell ref="A230:D230"/>
    <mergeCell ref="A222:D222"/>
    <mergeCell ref="A224:D224"/>
    <mergeCell ref="E221:F221"/>
    <mergeCell ref="A241:D241"/>
    <mergeCell ref="H260:I260"/>
    <mergeCell ref="G226:I226"/>
    <mergeCell ref="G236:I236"/>
    <mergeCell ref="A232:D232"/>
    <mergeCell ref="A234:D234"/>
    <mergeCell ref="A235:D235"/>
    <mergeCell ref="A231:D231"/>
    <mergeCell ref="A237:D237"/>
    <mergeCell ref="A236:D236"/>
    <mergeCell ref="A238:D238"/>
    <mergeCell ref="G237:I237"/>
    <mergeCell ref="A248:D248"/>
    <mergeCell ref="A249:D249"/>
    <mergeCell ref="A250:D250"/>
    <mergeCell ref="A251:D251"/>
    <mergeCell ref="A252:D252"/>
    <mergeCell ref="A253:D253"/>
    <mergeCell ref="A246:D246"/>
    <mergeCell ref="A247:D247"/>
    <mergeCell ref="G238:I238"/>
    <mergeCell ref="A239:D239"/>
    <mergeCell ref="G240:H240"/>
    <mergeCell ref="A240:D240"/>
    <mergeCell ref="E262:F262"/>
    <mergeCell ref="B261:I261"/>
    <mergeCell ref="E290:F290"/>
    <mergeCell ref="E281:F281"/>
    <mergeCell ref="E282:F282"/>
    <mergeCell ref="E284:F284"/>
    <mergeCell ref="E285:F285"/>
    <mergeCell ref="E271:F271"/>
    <mergeCell ref="E264:F264"/>
    <mergeCell ref="E265:F265"/>
    <mergeCell ref="E266:F266"/>
    <mergeCell ref="E287:F287"/>
    <mergeCell ref="E286:F286"/>
    <mergeCell ref="E283:F283"/>
    <mergeCell ref="E272:F272"/>
    <mergeCell ref="E268:F268"/>
    <mergeCell ref="E269:F269"/>
    <mergeCell ref="E270:F270"/>
    <mergeCell ref="E288:F288"/>
    <mergeCell ref="E289:F289"/>
    <mergeCell ref="E267:F267"/>
    <mergeCell ref="A311:I311"/>
    <mergeCell ref="A314:C314"/>
    <mergeCell ref="A315:C315"/>
    <mergeCell ref="G314:I314"/>
    <mergeCell ref="E313:I313"/>
    <mergeCell ref="A307:E307"/>
    <mergeCell ref="G301:I301"/>
    <mergeCell ref="A317:C317"/>
    <mergeCell ref="A318:C318"/>
    <mergeCell ref="A304:E304"/>
    <mergeCell ref="A305:E305"/>
    <mergeCell ref="A303:E303"/>
    <mergeCell ref="A316:C316"/>
    <mergeCell ref="A299:E299"/>
    <mergeCell ref="A300:E300"/>
    <mergeCell ref="A301:E301"/>
    <mergeCell ref="A306:E306"/>
    <mergeCell ref="B296:C296"/>
    <mergeCell ref="E292:F292"/>
    <mergeCell ref="E293:F293"/>
    <mergeCell ref="E294:F294"/>
    <mergeCell ref="A302:E302"/>
    <mergeCell ref="A321:C321"/>
    <mergeCell ref="A320:C320"/>
    <mergeCell ref="A322:C322"/>
    <mergeCell ref="G316:I316"/>
    <mergeCell ref="A323:C323"/>
    <mergeCell ref="G317:I317"/>
    <mergeCell ref="E273:F273"/>
    <mergeCell ref="E274:F274"/>
    <mergeCell ref="E279:F279"/>
    <mergeCell ref="E280:F280"/>
    <mergeCell ref="E275:F275"/>
    <mergeCell ref="E276:F276"/>
    <mergeCell ref="E277:F277"/>
    <mergeCell ref="E278:F278"/>
    <mergeCell ref="G319:I319"/>
    <mergeCell ref="H310:I310"/>
    <mergeCell ref="G318:I318"/>
    <mergeCell ref="G303:I303"/>
    <mergeCell ref="G304:I304"/>
    <mergeCell ref="G305:I305"/>
    <mergeCell ref="G306:I306"/>
    <mergeCell ref="G307:I307"/>
    <mergeCell ref="A319:C319"/>
    <mergeCell ref="E291:F291"/>
    <mergeCell ref="A331:I331"/>
    <mergeCell ref="F173:I173"/>
    <mergeCell ref="A329:C329"/>
    <mergeCell ref="A325:C325"/>
    <mergeCell ref="A328:C328"/>
    <mergeCell ref="F184:I184"/>
    <mergeCell ref="A326:C326"/>
    <mergeCell ref="A188:E188"/>
    <mergeCell ref="A189:E189"/>
    <mergeCell ref="G320:I320"/>
    <mergeCell ref="G315:I315"/>
    <mergeCell ref="G321:I321"/>
    <mergeCell ref="G329:I329"/>
    <mergeCell ref="G325:I325"/>
    <mergeCell ref="G322:I322"/>
    <mergeCell ref="G328:I328"/>
    <mergeCell ref="G323:I323"/>
    <mergeCell ref="G324:I324"/>
    <mergeCell ref="G326:I326"/>
    <mergeCell ref="G327:I327"/>
    <mergeCell ref="A327:C327"/>
    <mergeCell ref="G302:I302"/>
    <mergeCell ref="A212:J212"/>
    <mergeCell ref="A324:C324"/>
  </mergeCells>
  <phoneticPr fontId="0" type="noConversion"/>
  <conditionalFormatting sqref="A145 G145:I145">
    <cfRule type="expression" dxfId="701" priority="60" stopIfTrue="1">
      <formula>$P145="BG"</formula>
    </cfRule>
    <cfRule type="expression" dxfId="700" priority="59" stopIfTrue="1">
      <formula>$P145="B"</formula>
    </cfRule>
  </conditionalFormatting>
  <conditionalFormatting sqref="A264:A294">
    <cfRule type="expression" dxfId="699" priority="69" stopIfTrue="1">
      <formula>WEEKDAY(A264,2)&gt;5</formula>
    </cfRule>
    <cfRule type="expression" dxfId="698" priority="68" stopIfTrue="1">
      <formula>R264=1</formula>
    </cfRule>
  </conditionalFormatting>
  <conditionalFormatting sqref="A216:D216">
    <cfRule type="expression" dxfId="697" priority="67" stopIfTrue="1">
      <formula>$O216&lt;1</formula>
    </cfRule>
  </conditionalFormatting>
  <conditionalFormatting sqref="A217:D217">
    <cfRule type="expression" dxfId="696" priority="41">
      <formula>$S$216=9</formula>
    </cfRule>
  </conditionalFormatting>
  <conditionalFormatting sqref="A217:D225 E213:I217 E222:I230 A234:I240 F154:J154 A155 F155:I155 A202:I211 A212 A213:D215 E218:G218 E219:I220 E221 G221:I221 E231 G231:I232 A241:E241 G241:I241 A242:I242 A243 A244:I258 A315:D316 A317:E329">
    <cfRule type="expression" dxfId="695" priority="55" stopIfTrue="1">
      <formula>$O154&lt;1</formula>
    </cfRule>
  </conditionalFormatting>
  <conditionalFormatting sqref="A226:D232">
    <cfRule type="expression" dxfId="694" priority="2" stopIfTrue="1">
      <formula>$O226&lt;1</formula>
    </cfRule>
  </conditionalFormatting>
  <conditionalFormatting sqref="A227:D227">
    <cfRule type="expression" dxfId="693" priority="1">
      <formula>$S$226=9</formula>
    </cfRule>
  </conditionalFormatting>
  <conditionalFormatting sqref="A237:D237">
    <cfRule type="expression" dxfId="692" priority="37">
      <formula>$S236=9</formula>
    </cfRule>
  </conditionalFormatting>
  <conditionalFormatting sqref="A190:E191">
    <cfRule type="expression" dxfId="691" priority="328" stopIfTrue="1">
      <formula>$O188&lt;1</formula>
    </cfRule>
  </conditionalFormatting>
  <conditionalFormatting sqref="A192:E193">
    <cfRule type="expression" dxfId="690" priority="438" stopIfTrue="1">
      <formula>$O189&lt;1</formula>
    </cfRule>
  </conditionalFormatting>
  <conditionalFormatting sqref="A194:E198">
    <cfRule type="expression" dxfId="689" priority="296" stopIfTrue="1">
      <formula>$O193&lt;1</formula>
    </cfRule>
  </conditionalFormatting>
  <conditionalFormatting sqref="A28:I30">
    <cfRule type="expression" dxfId="688" priority="77" stopIfTrue="1">
      <formula>NOT(VLOOKUP($I$25,A_JaNein_Auswahl,2)=2)</formula>
    </cfRule>
  </conditionalFormatting>
  <conditionalFormatting sqref="A28:I45">
    <cfRule type="expression" dxfId="687" priority="78" stopIfTrue="1">
      <formula>NOT($Q$24)</formula>
    </cfRule>
  </conditionalFormatting>
  <conditionalFormatting sqref="A34:I34">
    <cfRule type="expression" dxfId="686" priority="83" stopIfTrue="1">
      <formula>NOT($Q$213)</formula>
    </cfRule>
  </conditionalFormatting>
  <conditionalFormatting sqref="A35:I35">
    <cfRule type="expression" dxfId="685" priority="85" stopIfTrue="1">
      <formula>NOT($Q$213)</formula>
    </cfRule>
  </conditionalFormatting>
  <conditionalFormatting sqref="A63:J144">
    <cfRule type="expression" dxfId="684" priority="66" stopIfTrue="1">
      <formula>$P63="K"</formula>
    </cfRule>
    <cfRule type="expression" dxfId="683" priority="65" stopIfTrue="1">
      <formula>$P63="BG"</formula>
    </cfRule>
    <cfRule type="expression" dxfId="682" priority="64" stopIfTrue="1">
      <formula>$P63="B"</formula>
    </cfRule>
  </conditionalFormatting>
  <conditionalFormatting sqref="E154:E155">
    <cfRule type="expression" dxfId="681" priority="3" stopIfTrue="1">
      <formula>$O154&lt;1</formula>
    </cfRule>
  </conditionalFormatting>
  <conditionalFormatting sqref="E313">
    <cfRule type="expression" dxfId="680" priority="4">
      <formula>OR(D315="Ja",D315="Oui",D316="Ja",D316="Oui")</formula>
    </cfRule>
  </conditionalFormatting>
  <conditionalFormatting sqref="E316">
    <cfRule type="expression" dxfId="679" priority="6" stopIfTrue="1">
      <formula>$O316&lt;1</formula>
    </cfRule>
  </conditionalFormatting>
  <conditionalFormatting sqref="E264:F294">
    <cfRule type="expression" dxfId="678" priority="27" stopIfTrue="1">
      <formula>OR($AE264=1,$AE264=2,$R264=1)</formula>
    </cfRule>
    <cfRule type="expression" dxfId="677" priority="25" stopIfTrue="1">
      <formula>$AE264=3</formula>
    </cfRule>
    <cfRule type="expression" dxfId="676" priority="26" stopIfTrue="1">
      <formula>OR($AE264&gt;3,$AC264=1)</formula>
    </cfRule>
  </conditionalFormatting>
  <conditionalFormatting sqref="F161:F162">
    <cfRule type="expression" dxfId="675" priority="22">
      <formula>S216=9</formula>
    </cfRule>
  </conditionalFormatting>
  <conditionalFormatting sqref="F172">
    <cfRule type="expression" dxfId="674" priority="21" stopIfTrue="1">
      <formula>$O172&lt;1</formula>
    </cfRule>
    <cfRule type="expression" dxfId="673" priority="20">
      <formula>S225=9</formula>
    </cfRule>
  </conditionalFormatting>
  <conditionalFormatting sqref="F173">
    <cfRule type="expression" dxfId="672" priority="16" stopIfTrue="1">
      <formula>$O173&lt;1</formula>
    </cfRule>
    <cfRule type="expression" dxfId="671" priority="15">
      <formula>S229=9</formula>
    </cfRule>
  </conditionalFormatting>
  <conditionalFormatting sqref="F183">
    <cfRule type="expression" dxfId="670" priority="18">
      <formula>S236=9</formula>
    </cfRule>
  </conditionalFormatting>
  <conditionalFormatting sqref="F184">
    <cfRule type="expression" dxfId="669" priority="13">
      <formula>S241=9</formula>
    </cfRule>
    <cfRule type="expression" dxfId="668" priority="14" stopIfTrue="1">
      <formula>$O184&lt;1</formula>
    </cfRule>
  </conditionalFormatting>
  <conditionalFormatting sqref="F158:I161 F162 F163:I172 A158:E168 A170:E179 A181:E189 F185:I198">
    <cfRule type="expression" dxfId="667" priority="23" stopIfTrue="1">
      <formula>$O158&lt;1</formula>
    </cfRule>
  </conditionalFormatting>
  <conditionalFormatting sqref="F174:I182">
    <cfRule type="expression" dxfId="666" priority="17" stopIfTrue="1">
      <formula>$O174&lt;1</formula>
    </cfRule>
  </conditionalFormatting>
  <conditionalFormatting sqref="F183:I183 E232:F232">
    <cfRule type="expression" dxfId="665" priority="19" stopIfTrue="1">
      <formula>$O184&lt;1</formula>
    </cfRule>
  </conditionalFormatting>
  <conditionalFormatting sqref="F315:I329">
    <cfRule type="expression" dxfId="664" priority="415" stopIfTrue="1">
      <formula>$O315&lt;1</formula>
    </cfRule>
    <cfRule type="expression" dxfId="663" priority="416" stopIfTrue="1">
      <formula>NOT(VLOOKUP($D315,A_JaNein_Auswahl,2,0)=1)</formula>
    </cfRule>
  </conditionalFormatting>
  <conditionalFormatting sqref="G217:I217">
    <cfRule type="expression" dxfId="662" priority="40">
      <formula>$O217&gt;1</formula>
    </cfRule>
  </conditionalFormatting>
  <conditionalFormatting sqref="G227:I227">
    <cfRule type="expression" dxfId="661" priority="38">
      <formula>$O227&gt;1</formula>
    </cfRule>
  </conditionalFormatting>
  <conditionalFormatting sqref="G237:I237">
    <cfRule type="expression" dxfId="660" priority="36">
      <formula>$O237&gt;1</formula>
    </cfRule>
  </conditionalFormatting>
  <conditionalFormatting sqref="G263:I263">
    <cfRule type="expression" dxfId="659" priority="75" stopIfTrue="1">
      <formula>OR(SUM($G$295:$I$295)&gt;0,SUM($AC$264:$AC$294)&gt;0)</formula>
    </cfRule>
  </conditionalFormatting>
  <conditionalFormatting sqref="G264:I294">
    <cfRule type="expression" dxfId="658" priority="11" stopIfTrue="1">
      <formula>OR($AE264=1,$AE264=2,$R264=1)</formula>
    </cfRule>
  </conditionalFormatting>
  <conditionalFormatting sqref="G295:I295">
    <cfRule type="expression" dxfId="657" priority="12" stopIfTrue="1">
      <formula>SUM($G$295:$I$295)&gt;0</formula>
    </cfRule>
  </conditionalFormatting>
  <conditionalFormatting sqref="I23:I24 A23:H27 I26:I27">
    <cfRule type="expression" dxfId="656" priority="79" stopIfTrue="1">
      <formula>NOT($Q$24)</formula>
    </cfRule>
  </conditionalFormatting>
  <conditionalFormatting sqref="I25">
    <cfRule type="expression" dxfId="655" priority="86" stopIfTrue="1">
      <formula>NOT($Q$24)</formula>
    </cfRule>
  </conditionalFormatting>
  <conditionalFormatting sqref="I32">
    <cfRule type="expression" dxfId="654" priority="81" stopIfTrue="1">
      <formula>NOT($Q$32)</formula>
    </cfRule>
  </conditionalFormatting>
  <conditionalFormatting sqref="I37">
    <cfRule type="expression" dxfId="653" priority="90" stopIfTrue="1">
      <formula>NOT($O$37=1)</formula>
    </cfRule>
  </conditionalFormatting>
  <conditionalFormatting sqref="I38">
    <cfRule type="expression" dxfId="652" priority="88" stopIfTrue="1">
      <formula>NOT($O$38=1)</formula>
    </cfRule>
  </conditionalFormatting>
  <conditionalFormatting sqref="J262:J295">
    <cfRule type="expression" dxfId="651" priority="76" stopIfTrue="1">
      <formula>SUM($G$295:$I$295)&gt;0</formula>
    </cfRule>
  </conditionalFormatting>
  <conditionalFormatting sqref="U264:AE294 BI264:BS294 CA264:CD294 CF264:CF294 CO264:CY294 DA264:DD294 CE264:CE295">
    <cfRule type="cellIs" dxfId="650" priority="51" stopIfTrue="1" operator="equal">
      <formula>0</formula>
    </cfRule>
  </conditionalFormatting>
  <conditionalFormatting sqref="AF264:AF294">
    <cfRule type="expression" dxfId="649" priority="44" stopIfTrue="1">
      <formula>$AE264&gt;3</formula>
    </cfRule>
    <cfRule type="expression" dxfId="648" priority="42" stopIfTrue="1">
      <formula>$AE264=3</formula>
    </cfRule>
    <cfRule type="expression" dxfId="647" priority="43" stopIfTrue="1">
      <formula>OR($AE264=1,$AE264=2)</formula>
    </cfRule>
  </conditionalFormatting>
  <conditionalFormatting sqref="DJ263:DK294 DI264:DI294 DL264:DM294">
    <cfRule type="cellIs" dxfId="646" priority="24" stopIfTrue="1" operator="equal">
      <formula>0</formula>
    </cfRule>
  </conditionalFormatting>
  <dataValidations count="12">
    <dataValidation type="date" allowBlank="1" showInputMessage="1" showErrorMessage="1" sqref="I232" xr:uid="{6014DCF3-BF42-4035-8F1C-B508E5AE24AE}">
      <formula1>I231</formula1>
      <formula2>I226</formula2>
    </dataValidation>
    <dataValidation type="whole" allowBlank="1" showInputMessage="1" showErrorMessage="1" sqref="D264:D294" xr:uid="{1323D84F-B5F0-4F13-A727-E3B7AAE12F17}">
      <formula1>0</formula1>
      <formula2>S264</formula2>
    </dataValidation>
    <dataValidation type="date" operator="greaterThanOrEqual" allowBlank="1" showInputMessage="1" showErrorMessage="1" sqref="I215 I225 I235" xr:uid="{E27478EC-A1D4-4A1E-9470-7B55D9375CD6}">
      <formula1>I214</formula1>
    </dataValidation>
    <dataValidation type="date" operator="greaterThan" allowBlank="1" showInputMessage="1" showErrorMessage="1" sqref="I234 I224" xr:uid="{6E3D7892-72C0-446E-B7DF-BD70206FD229}">
      <formula1>I215</formula1>
    </dataValidation>
    <dataValidation type="date" operator="greaterThanOrEqual" allowBlank="1" showInputMessage="1" showErrorMessage="1" sqref="I23" xr:uid="{A7153DB5-BFA4-4709-B286-FB028AF72EEB}">
      <formula1>H21</formula1>
    </dataValidation>
    <dataValidation type="list" allowBlank="1" showInputMessage="1" showErrorMessage="1" sqref="I25:I26 AI25:AI26 D315:D329" xr:uid="{98601DA2-5B70-4396-8BA3-49F336CEB3B1}">
      <formula1>L_JaNein</formula1>
    </dataValidation>
    <dataValidation type="textLength" allowBlank="1" showInputMessage="1" showErrorMessage="1" sqref="G315:I329" xr:uid="{0631799D-7A2A-472D-A558-345F12BF7F00}">
      <formula1>0</formula1>
      <formula2>32</formula2>
    </dataValidation>
    <dataValidation type="list" allowBlank="1" showInputMessage="1" showErrorMessage="1" sqref="G238 G228 G218:I218" xr:uid="{6285AB72-2E12-4469-B27A-8B8458775A4F}">
      <formula1>L_Rückfall</formula1>
    </dataValidation>
    <dataValidation type="list" allowBlank="1" showInputMessage="1" showErrorMessage="1" sqref="G226 G236 G216:I216" xr:uid="{DFFA9B29-C388-49A7-AD37-D6727D7DBE68}">
      <formula1>L_Arbeitsunfähigkeit_Grund</formula1>
    </dataValidation>
    <dataValidation type="list" allowBlank="1" showInputMessage="1" showErrorMessage="1" sqref="G217:I217 G227:I227 G237:I237" xr:uid="{BAF8DFE3-4634-4F72-AE63-7740FAB0A6FD}">
      <formula1>L_ArtUnfall</formula1>
    </dataValidation>
    <dataValidation type="textLength" allowBlank="1" showInputMessage="1" showErrorMessage="1" sqref="F40:I40 F42:I42 F44:I45" xr:uid="{19E70D88-D48B-4462-84E6-44B0ABDF776B}">
      <formula1>0</formula1>
      <formula2>40</formula2>
    </dataValidation>
    <dataValidation type="custom" allowBlank="1" showInputMessage="1" showErrorMessage="1" sqref="E264:F294" xr:uid="{657ED41C-EFFB-483A-A236-B13B118B593C}">
      <formula1>NOT(U264=1)</formula1>
    </dataValidation>
  </dataValidations>
  <hyperlinks>
    <hyperlink ref="B13:I13" location="Linkziel_M_Eingaben" display="Monatlliche Abrechnung: Geben Sie hier die Informationen ein, um die Lohnabrechnung für diesen Monat zu erstellen" xr:uid="{00000000-0004-0000-0200-000000000000}"/>
    <hyperlink ref="B18:I18" location="Linkziel_M_Korrekturen" display="Korrekturen: Wenn Sie Korrekturen zu einer früheren Lohnabrechnung machen müssen, können Sie diese hier eingeben" xr:uid="{00000000-0004-0000-0200-000001000000}"/>
    <hyperlink ref="B17:I17" location="Linkziel_M_Einsatzrapport" display="Einsatzrapport: Wenn Sie einen Einsatzrapport führen wollen, können Sie hier die Arbeitszeit pro Tag erfassen" xr:uid="{00000000-0004-0000-02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200-000003000000}"/>
    <hyperlink ref="B15:I15" location="Linkziel_M_ASTeK" display="Verrechnung Assistenzbeitrag: Hier finden Sie die Daten für den Übertrag ins ASTeK (bzw. für das Rechnungsformular Assistenzbeitrag, falls Sie das ASTeK nicht verwenden)" xr:uid="{00000000-0004-0000-0200-000004000000}"/>
    <hyperlink ref="B14:I14" location="Linkziel_M_Lohnabrechnung" display="Lohnabrechnung zum Ausdrucken" xr:uid="{00000000-0004-0000-0200-000005000000}"/>
    <hyperlink ref="A5" location="Linkziel_M_Eingaben" display="Linkziel_M_Eingaben" xr:uid="{00000000-0004-0000-0200-000006000000}"/>
    <hyperlink ref="A6" location="Linkziel_M_Lohnabrechnung" display="Linkziel_M_Lohnabrechnung" xr:uid="{00000000-0004-0000-0200-000007000000}"/>
    <hyperlink ref="A7" location="Linkziel_M_ASTeK" display="Linkziel_M_ASTeK" xr:uid="{00000000-0004-0000-0200-000008000000}"/>
    <hyperlink ref="F5" location="Linkziel_M_Abwesenheiten" display="Linkziel_M_Abwesenheiten" xr:uid="{00000000-0004-0000-0200-000009000000}"/>
    <hyperlink ref="F6" location="Linkziel_M_Einsatzrapport" display="Linkziel_M_Einsatzrapport" xr:uid="{00000000-0004-0000-0200-00000A000000}"/>
    <hyperlink ref="F7" location="Linkziel_M_Korrekturen" display="Linkziel_M_Korrekturen" xr:uid="{00000000-0004-0000-0200-00000B000000}"/>
    <hyperlink ref="A16" location="Linkziel_M_Abwesenheiten" display="Linkziel_M_Abwesenheiten" xr:uid="{00000000-0004-0000-0200-00000C000000}"/>
    <hyperlink ref="A17" location="Linkziel_M_Einsatzrapport" display="Linkziel_M_Einsatzrapport" xr:uid="{00000000-0004-0000-0200-00000D000000}"/>
    <hyperlink ref="A18" location="Linkziel_M_Korrekturen" display="Linkziel_M_Korrekturen" xr:uid="{00000000-0004-0000-0200-00000E000000}"/>
    <hyperlink ref="A13" location="Linkziel_M_Eingaben" display="Linkziel_M_Eingaben" xr:uid="{00000000-0004-0000-0200-00000F000000}"/>
    <hyperlink ref="A14" location="Linkziel_M_Lohnabrechnung" display="Linkziel_M_Lohnabrechnung" xr:uid="{00000000-0004-0000-0200-000010000000}"/>
    <hyperlink ref="A15" location="Linkziel_M_ASTeK" display="Linkziel_M_ASTeK" xr:uid="{00000000-0004-0000-0200-000011000000}"/>
    <hyperlink ref="A25:G25" location="Linkziel_M_Einsatzrapport" display="Linkziel_M_Einsatzrapport" xr:uid="{00000000-0004-0000-0200-000012000000}"/>
    <hyperlink ref="H1:I1" location="Intro!A22" display="zurück zum Intro" xr:uid="{00000000-0004-0000-0200-000013000000}"/>
  </hyperlinks>
  <printOptions horizontalCentered="1"/>
  <pageMargins left="0.51181102362204722" right="0.19685039370078741" top="0.98425196850393704" bottom="0.78740157480314965" header="0.70866141732283472" footer="0.51181102362204722"/>
  <pageSetup paperSize="9" scale="95" fitToWidth="0" fitToHeight="0" orientation="portrait" r:id="rId1"/>
  <headerFooter alignWithMargins="0">
    <oddFooter>&amp;L&amp;8 LAM © Assistenzbüro ABü 2022 - V2.0&amp;R&amp;8&amp;P/&amp;N</oddFooter>
  </headerFooter>
  <rowBreaks count="3" manualBreakCount="3">
    <brk id="197" max="9" man="1"/>
    <brk id="233" max="10" man="1"/>
    <brk id="297"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outlinePr showOutlineSymbols="0"/>
  </sheetPr>
  <dimension ref="A1:DP470"/>
  <sheetViews>
    <sheetView showGridLines="0" showZeros="0" showOutlineSymbols="0" topLeftCell="A6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6.6640625" style="55" hidden="1" customWidth="1"/>
    <col min="15" max="15" width="68" style="55" hidden="1" customWidth="1"/>
    <col min="16" max="16" width="35" style="55" hidden="1" customWidth="1"/>
    <col min="17" max="17" width="31.33203125" style="55" hidden="1" customWidth="1"/>
    <col min="18" max="18" width="50" style="55" hidden="1" customWidth="1"/>
    <col min="19" max="19" width="10.88671875" style="55" hidden="1" customWidth="1"/>
    <col min="20" max="20" width="11.6640625" style="55" hidden="1" customWidth="1"/>
    <col min="21" max="21" width="66.6640625" style="55" hidden="1" customWidth="1"/>
    <col min="22" max="26" width="2" style="55" hidden="1" customWidth="1"/>
    <col min="27" max="27" width="60.5546875" style="55" hidden="1" customWidth="1"/>
    <col min="28" max="28" width="32.6640625" style="55" hidden="1" customWidth="1"/>
    <col min="29" max="29" width="21.88671875" style="55" hidden="1" customWidth="1"/>
    <col min="30" max="30" width="14.6640625" style="55" hidden="1" customWidth="1"/>
    <col min="31" max="31" width="62.33203125" style="55" hidden="1" customWidth="1"/>
    <col min="32" max="32" width="16.33203125" style="55" hidden="1" customWidth="1"/>
    <col min="33" max="33" width="17.6640625" style="55" hidden="1" customWidth="1"/>
    <col min="34" max="34" width="31.554687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5" width="6" style="55" hidden="1" customWidth="1"/>
    <col min="46" max="46" width="6" style="63" hidden="1" customWidth="1"/>
    <col min="47" max="48" width="5.6640625" style="55" hidden="1" customWidth="1"/>
    <col min="49" max="51" width="3.6640625" style="55" hidden="1" customWidth="1"/>
    <col min="52" max="53" width="4.6640625" style="55" hidden="1" customWidth="1"/>
    <col min="54" max="54" width="17.6640625" style="55" hidden="1" customWidth="1"/>
    <col min="55" max="59" width="3.33203125" style="55" hidden="1" customWidth="1"/>
    <col min="60" max="61" width="5.6640625" style="55" hidden="1" customWidth="1"/>
    <col min="62" max="68" width="2" style="55" hidden="1" customWidth="1"/>
    <col min="69" max="69" width="4.88671875" style="55" hidden="1" customWidth="1"/>
    <col min="70" max="70" width="130.33203125" style="55" hidden="1" customWidth="1"/>
    <col min="71" max="73" width="9.33203125" style="55" hidden="1" customWidth="1"/>
    <col min="74" max="76" width="10.109375" style="55" hidden="1" customWidth="1"/>
    <col min="77" max="77" width="7.6640625" style="55" hidden="1" customWidth="1"/>
    <col min="78" max="78" width="24.33203125" style="55" hidden="1" customWidth="1"/>
    <col min="79" max="81" width="9.33203125" style="55" hidden="1" customWidth="1"/>
    <col min="82" max="82" width="7.6640625" style="55" hidden="1" customWidth="1"/>
    <col min="83" max="83" width="30.88671875" style="55" hidden="1" customWidth="1"/>
    <col min="84" max="86" width="6.6640625" style="55" hidden="1" customWidth="1"/>
    <col min="87" max="87" width="7.6640625" style="55" hidden="1" customWidth="1"/>
    <col min="88" max="88" width="8.88671875" style="55" hidden="1" customWidth="1"/>
    <col min="89" max="90" width="7.33203125" style="55" hidden="1" customWidth="1"/>
    <col min="91" max="93" width="47.109375" style="55" hidden="1" customWidth="1"/>
    <col min="94" max="102" width="2" style="55" hidden="1" customWidth="1"/>
    <col min="103" max="105" width="5.88671875" style="55" hidden="1" customWidth="1"/>
    <col min="106" max="107" width="8.88671875" style="55" hidden="1" customWidth="1"/>
    <col min="108" max="108" width="8.33203125" style="55" hidden="1" customWidth="1"/>
    <col min="109" max="109" width="29.109375" style="55" hidden="1" customWidth="1"/>
    <col min="110" max="110" width="7.33203125" style="55" hidden="1" customWidth="1"/>
    <col min="111" max="113" width="9.6640625"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2.109375" style="55" hidden="1" customWidth="1"/>
    <col min="121" max="122" width="12.109375" style="55" customWidth="1"/>
    <col min="123" max="152" width="11.33203125" style="55" customWidth="1"/>
    <col min="153" max="16384" width="11.33203125" style="55"/>
  </cols>
  <sheetData>
    <row r="1" spans="1:113" ht="18" customHeight="1" x14ac:dyDescent="0.25">
      <c r="A1" s="417" t="str">
        <f ca="1">AA1&amp;" "&amp;TEXT(P1,"MMMM")</f>
        <v>Monatsblatt Februar</v>
      </c>
      <c r="H1" s="450" t="str">
        <f ca="1">INDIRECT(ADDRESS(ROW()+N_Offset_M,COLUMN()+(N_SpracheAuswahl)*26,,,"Text"))</f>
        <v>zurück zum Intro</v>
      </c>
      <c r="I1" s="449"/>
      <c r="O1" s="56" t="s">
        <v>97</v>
      </c>
      <c r="P1" s="309">
        <f>DATE('  B  '!C13,2,1)</f>
        <v>45323</v>
      </c>
      <c r="Q1" s="276"/>
      <c r="R1" s="277" t="s">
        <v>77</v>
      </c>
      <c r="AA1" s="55" t="str">
        <f ca="1">INDIRECT(ADDRESS(ROW()+N_Offset_M,COLUMN(A1)+(N_SpracheAuswahl)*26,,,"Text"))</f>
        <v>Monatsblatt</v>
      </c>
    </row>
    <row r="2" spans="1:113" x14ac:dyDescent="0.25">
      <c r="A2" s="55" t="str">
        <f ca="1">IF(AND(N_Pensum&lt;8/N_WochenAZ_100Prozent,SUM('  B  '!C79,'  B  '!D79)=0,LEN('  B  '!C35)&gt;1),AA2,"")</f>
        <v/>
      </c>
      <c r="P2" s="276">
        <f>DAY(DATE(YEAR(P1),MONTH(P1)+1,0))</f>
        <v>29</v>
      </c>
      <c r="Q2" s="276" t="s">
        <v>73</v>
      </c>
      <c r="R2" s="276"/>
      <c r="AA2" s="55" t="str">
        <f ca="1">INDIRECT(ADDRESS(ROW()+N_Offset_M,COLUMN(A2)+(N_SpracheAuswahl)*26,,,"Text"))</f>
        <v>Warnung: Prämie für Nichtbetriebs-Unfallversicherung in Blatt B noch nicht ausgefüllt</v>
      </c>
    </row>
    <row r="3" spans="1:113" x14ac:dyDescent="0.25">
      <c r="A3" s="55" t="str">
        <f>'  B  '!C34&amp;" "&amp;'  B  '!C35&amp;", "&amp;'  B  '!C40</f>
        <v xml:space="preserve"> , </v>
      </c>
      <c r="P3" s="276" t="str">
        <f>N_Version</f>
        <v>2023 - V2.10</v>
      </c>
      <c r="Q3" s="276" t="s">
        <v>74</v>
      </c>
      <c r="R3" s="276"/>
    </row>
    <row r="4" spans="1:113" ht="8.1" customHeight="1" x14ac:dyDescent="0.25"/>
    <row r="5" spans="1:113"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113"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c r="DI6" s="55" t="b">
        <f ca="1">NOT(AY264=1)</f>
        <v>1</v>
      </c>
    </row>
    <row r="7" spans="1:113"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c r="U7" s="55">
        <f>U260*U272</f>
        <v>0</v>
      </c>
      <c r="V7" s="55">
        <f t="shared" ref="V7:AD7" ca="1" si="0">V260*V272</f>
        <v>0</v>
      </c>
      <c r="X7" s="55">
        <f t="shared" si="0"/>
        <v>0</v>
      </c>
      <c r="Y7" s="55">
        <f t="shared" ca="1" si="0"/>
        <v>0</v>
      </c>
      <c r="Z7" s="55">
        <f t="shared" ca="1" si="0"/>
        <v>0</v>
      </c>
      <c r="AA7" s="55">
        <f t="shared" ca="1" si="0"/>
        <v>0</v>
      </c>
      <c r="AB7" s="55">
        <f t="shared" ca="1" si="0"/>
        <v>0</v>
      </c>
      <c r="AC7" s="55">
        <f t="shared" ca="1" si="0"/>
        <v>0</v>
      </c>
      <c r="AD7" s="55">
        <f t="shared" ca="1" si="0"/>
        <v>0</v>
      </c>
    </row>
    <row r="8" spans="1:113" ht="8.1" customHeight="1" x14ac:dyDescent="0.25"/>
    <row r="9" spans="1:113" hidden="1" x14ac:dyDescent="0.25">
      <c r="B9" s="87"/>
    </row>
    <row r="10" spans="1:113" hidden="1" x14ac:dyDescent="0.25"/>
    <row r="11" spans="1:113" s="383" customFormat="1" ht="6.6" x14ac:dyDescent="0.25">
      <c r="A11" s="491" t="s">
        <v>747</v>
      </c>
      <c r="AM11" s="384"/>
      <c r="AO11" s="384"/>
      <c r="AQ11" s="384"/>
    </row>
    <row r="12" spans="1:113"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113" ht="27" customHeight="1" thickBot="1" x14ac:dyDescent="0.3">
      <c r="A13" s="456" t="str">
        <f ca="1">B_Zeile&amp;" "&amp;ROW(Linkziel_M_Eingaben)</f>
        <v>Zeile 20</v>
      </c>
      <c r="B13" s="928" t="str">
        <f t="shared" ref="B13:I18" ca="1" si="1">INDIRECT(ADDRESS(ROW()+N_Offset_M,COLUMN()+(N_SpracheAuswahl)*26,,,"Text"))</f>
        <v>Monatlliche Abrechnung: Geben Sie hier die Informationen ein, um die Lohnabrechnung für diesen Monat zu erstellen</v>
      </c>
      <c r="C13" s="928">
        <f t="shared" ca="1" si="1"/>
        <v>0</v>
      </c>
      <c r="D13" s="928">
        <f t="shared" ca="1" si="1"/>
        <v>0</v>
      </c>
      <c r="E13" s="928">
        <f t="shared" ca="1" si="1"/>
        <v>0</v>
      </c>
      <c r="F13" s="928">
        <f t="shared" ca="1" si="1"/>
        <v>0</v>
      </c>
      <c r="G13" s="928">
        <f t="shared" ca="1" si="1"/>
        <v>0</v>
      </c>
      <c r="H13" s="928">
        <f t="shared" ca="1" si="1"/>
        <v>0</v>
      </c>
      <c r="I13" s="928">
        <f t="shared" ca="1" si="1"/>
        <v>0</v>
      </c>
      <c r="P13" s="56"/>
    </row>
    <row r="14" spans="1:113" ht="13.8" thickBot="1" x14ac:dyDescent="0.3">
      <c r="A14" s="456" t="str">
        <f ca="1">B_Zeile&amp;" "&amp;ROW(Linkziel_M_Lohnabrechnung)</f>
        <v>Zeile 46</v>
      </c>
      <c r="B14" s="928" t="str">
        <f t="shared" ca="1" si="1"/>
        <v>Lohnabrechnung zum Ausdrucken</v>
      </c>
      <c r="C14" s="928">
        <f t="shared" ca="1" si="1"/>
        <v>0</v>
      </c>
      <c r="D14" s="928">
        <f t="shared" ca="1" si="1"/>
        <v>0</v>
      </c>
      <c r="E14" s="928">
        <f t="shared" ca="1" si="1"/>
        <v>0</v>
      </c>
      <c r="F14" s="928">
        <f t="shared" ca="1" si="1"/>
        <v>0</v>
      </c>
      <c r="G14" s="928">
        <f t="shared" ca="1" si="1"/>
        <v>0</v>
      </c>
      <c r="H14" s="928">
        <f t="shared" ca="1" si="1"/>
        <v>0</v>
      </c>
      <c r="I14" s="928">
        <f t="shared" ca="1" si="1"/>
        <v>0</v>
      </c>
      <c r="P14" s="56"/>
    </row>
    <row r="15" spans="1:113" ht="39.9" customHeight="1" thickBot="1" x14ac:dyDescent="0.3">
      <c r="A15" s="456" t="str">
        <f ca="1">B_Zeile&amp;" "&amp;ROW(Linkziel_M_ASTeK)</f>
        <v>Zeile 146</v>
      </c>
      <c r="B15" s="928" t="str">
        <f t="shared" ca="1" si="1"/>
        <v>Verrechnung Assistenzbeitrag: Hier finden Sie die Daten für den Übertrag ins ASTeK (bzw. für das Rechnungsformular Assistenzbeitrag, falls Sie das ASTeK nicht verwenden)</v>
      </c>
      <c r="C15" s="928">
        <f t="shared" ca="1" si="1"/>
        <v>0</v>
      </c>
      <c r="D15" s="928">
        <f t="shared" ca="1" si="1"/>
        <v>0</v>
      </c>
      <c r="E15" s="928">
        <f t="shared" ca="1" si="1"/>
        <v>0</v>
      </c>
      <c r="F15" s="928">
        <f t="shared" ca="1" si="1"/>
        <v>0</v>
      </c>
      <c r="G15" s="928">
        <f t="shared" ca="1" si="1"/>
        <v>0</v>
      </c>
      <c r="H15" s="928">
        <f t="shared" ca="1" si="1"/>
        <v>0</v>
      </c>
      <c r="I15" s="928">
        <f t="shared" ca="1" si="1"/>
        <v>0</v>
      </c>
      <c r="P15" s="56"/>
      <c r="AT15" s="55"/>
    </row>
    <row r="16" spans="1:113" ht="27" customHeight="1" thickBot="1" x14ac:dyDescent="0.3">
      <c r="A16" s="456" t="str">
        <f ca="1">B_Zeile&amp;" "&amp;ROW(Linkziel_M_Abwesenheiten)</f>
        <v>Zeile 199</v>
      </c>
      <c r="B16" s="928" t="str">
        <f t="shared" ca="1" si="1"/>
        <v>Abwesenheiten: Geben Sie hier ein, wenn die Assistenzperson Ferien bezieht, krank ist, oder wenn wegen Heim- / Spitalaufenthalt keine Leistung entgegen genommen werden kann</v>
      </c>
      <c r="C16" s="928">
        <f t="shared" ca="1" si="1"/>
        <v>0</v>
      </c>
      <c r="D16" s="928">
        <f t="shared" ca="1" si="1"/>
        <v>0</v>
      </c>
      <c r="E16" s="928">
        <f t="shared" ca="1" si="1"/>
        <v>0</v>
      </c>
      <c r="F16" s="928">
        <f t="shared" ca="1" si="1"/>
        <v>0</v>
      </c>
      <c r="G16" s="928">
        <f t="shared" ca="1" si="1"/>
        <v>0</v>
      </c>
      <c r="H16" s="928">
        <f t="shared" ca="1" si="1"/>
        <v>0</v>
      </c>
      <c r="I16" s="928">
        <f t="shared" ca="1" si="1"/>
        <v>0</v>
      </c>
      <c r="P16" s="56"/>
      <c r="AT16" s="55"/>
    </row>
    <row r="17" spans="1:46" ht="27" customHeight="1" thickBot="1" x14ac:dyDescent="0.3">
      <c r="A17" s="456" t="str">
        <f ca="1">B_Zeile&amp;" "&amp;ROW(Linkziel_M_Einsatzrapport)</f>
        <v>Zeile 259</v>
      </c>
      <c r="B17" s="928" t="str">
        <f t="shared" ca="1" si="1"/>
        <v>Einsatzrapport: Wenn Sie einen Einsatzrapport führen wollen, können Sie hier die Arbeitszeit pro Tag erfassen</v>
      </c>
      <c r="C17" s="928">
        <f t="shared" ca="1" si="1"/>
        <v>0</v>
      </c>
      <c r="D17" s="928">
        <f t="shared" ca="1" si="1"/>
        <v>0</v>
      </c>
      <c r="E17" s="928">
        <f t="shared" ca="1" si="1"/>
        <v>0</v>
      </c>
      <c r="F17" s="928">
        <f t="shared" ca="1" si="1"/>
        <v>0</v>
      </c>
      <c r="G17" s="928">
        <f t="shared" ca="1" si="1"/>
        <v>0</v>
      </c>
      <c r="H17" s="928">
        <f t="shared" ca="1" si="1"/>
        <v>0</v>
      </c>
      <c r="I17" s="928">
        <f t="shared" ca="1" si="1"/>
        <v>0</v>
      </c>
      <c r="P17" s="56"/>
      <c r="AT17" s="55"/>
    </row>
    <row r="18" spans="1:46" ht="27" customHeight="1" thickBot="1" x14ac:dyDescent="0.3">
      <c r="A18" s="456" t="str">
        <f ca="1">B_Zeile&amp;" "&amp;ROW(Linkziel_M_Korrekturen)</f>
        <v>Zeile 309</v>
      </c>
      <c r="B18" s="928" t="str">
        <f t="shared" ca="1" si="1"/>
        <v>Korrekturen: Wenn Sie Korrekturen zu einer früheren Lohnabrechnung machen müssen, können Sie diese hier eingeben</v>
      </c>
      <c r="C18" s="928">
        <f t="shared" ca="1" si="1"/>
        <v>0</v>
      </c>
      <c r="D18" s="928">
        <f t="shared" ca="1" si="1"/>
        <v>0</v>
      </c>
      <c r="E18" s="928">
        <f t="shared" ca="1" si="1"/>
        <v>0</v>
      </c>
      <c r="F18" s="928">
        <f t="shared" ca="1" si="1"/>
        <v>0</v>
      </c>
      <c r="G18" s="928">
        <f t="shared" ca="1" si="1"/>
        <v>0</v>
      </c>
      <c r="H18" s="928">
        <f t="shared" ca="1" si="1"/>
        <v>0</v>
      </c>
      <c r="I18" s="928">
        <f t="shared" ca="1" si="1"/>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45323</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2">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3">IF(Q$24,1,0)</f>
        <v>1</v>
      </c>
      <c r="AA26" s="96" t="str">
        <f t="shared" ca="1" si="2"/>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3"/>
        <v>1</v>
      </c>
      <c r="AA27" s="96" t="str">
        <f t="shared" ca="1" si="2"/>
        <v xml:space="preserve">Art der Leistung </v>
      </c>
      <c r="AB27" s="96"/>
      <c r="AC27" s="96"/>
      <c r="AD27" s="96"/>
      <c r="AE27" s="96" t="str">
        <f t="shared" ref="AE27:AF39" ca="1" si="4">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3"/>
        <v>1</v>
      </c>
      <c r="P28" s="364">
        <f ca="1">IF(VLOOKUP(I$25,A_JaNein_Auswahl,2)=2,I28,B295)</f>
        <v>0</v>
      </c>
      <c r="AA28" s="55" t="str">
        <f t="shared" ca="1" si="2"/>
        <v>Standardqualifikation</v>
      </c>
      <c r="AE28" s="55" t="str">
        <f t="shared" ca="1" si="4"/>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3"/>
        <v>1</v>
      </c>
      <c r="P29" s="364">
        <f ca="1">IF(VLOOKUP(I$25,A_JaNein_Auswahl,2)=2,I29,C295)</f>
        <v>0</v>
      </c>
      <c r="AA29" s="55" t="str">
        <f t="shared" ca="1" si="2"/>
        <v>Qualifikation B</v>
      </c>
      <c r="AE29" s="55" t="str">
        <f t="shared" ca="1" si="4"/>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3"/>
        <v>1</v>
      </c>
      <c r="P30" s="364">
        <f ca="1">IF(VLOOKUP(I$25,A_JaNein_Auswahl,2)=2,I30,D295)</f>
        <v>0</v>
      </c>
      <c r="AA30" s="55" t="str">
        <f t="shared" ca="1" si="2"/>
        <v>Nachtdienst</v>
      </c>
      <c r="AE30" s="55" t="str">
        <f t="shared" ca="1" si="4"/>
        <v>Nächte</v>
      </c>
    </row>
    <row r="31" spans="1:46" ht="39.9" customHeight="1" x14ac:dyDescent="0.25">
      <c r="A31" s="935" t="str">
        <f t="shared" ref="A31:A45" ca="1" si="5">IF(O31=0,"",AA31)</f>
        <v>Lohnfortzahlung während Ferien / Arbeitsunfähigkeit</v>
      </c>
      <c r="B31" s="935"/>
      <c r="C31" s="935"/>
      <c r="D31" s="935"/>
      <c r="E31" s="932" t="str">
        <f t="shared" ref="E31:E36" ca="1" si="6">IF(O31=0,"",AE31)</f>
        <v>Stunden, automatisch berechnet aus Abwesenheiten</v>
      </c>
      <c r="F31" s="932"/>
      <c r="G31" s="57"/>
      <c r="H31" s="178"/>
      <c r="I31" s="142">
        <f ca="1">G295</f>
        <v>0</v>
      </c>
      <c r="O31" s="289">
        <f t="shared" ca="1" si="3"/>
        <v>1</v>
      </c>
      <c r="AA31" s="55" t="str">
        <f t="shared" ca="1" si="2"/>
        <v>Lohnfortzahlung während Ferien / Arbeitsunfähigkeit</v>
      </c>
      <c r="AE31" s="55" t="str">
        <f t="shared" ca="1" si="4"/>
        <v>Stunden, automatisch berechnet aus Abwesenheiten</v>
      </c>
    </row>
    <row r="32" spans="1:46" ht="27" hidden="1" customHeight="1" x14ac:dyDescent="0.25">
      <c r="A32" s="935" t="str">
        <f ca="1">IF(O32=0,"",AA32)</f>
        <v/>
      </c>
      <c r="B32" s="935"/>
      <c r="C32" s="935"/>
      <c r="D32" s="935"/>
      <c r="E32" s="92" t="str">
        <f t="shared" ca="1" si="6"/>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2"/>
        <v>Taggelder der Unfallversicherung</v>
      </c>
      <c r="AE32" s="55" t="str">
        <f t="shared" ca="1" si="4"/>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6"/>
        <v>CHF</v>
      </c>
      <c r="F33" s="936" t="str">
        <f ca="1">IF(O33=0,"",AF33)</f>
        <v>Auszahlung in diesem Monat</v>
      </c>
      <c r="G33" s="936"/>
      <c r="H33" s="937"/>
      <c r="I33" s="174"/>
      <c r="O33" s="289">
        <f t="shared" ca="1" si="3"/>
        <v>1</v>
      </c>
      <c r="AA33" s="55" t="str">
        <f t="shared" ca="1" si="2"/>
        <v>Taggelder der Unfallversicherung</v>
      </c>
      <c r="AE33" s="55" t="str">
        <f t="shared" ca="1" si="4"/>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6"/>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4"/>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6"/>
        <v/>
      </c>
      <c r="F35" s="936" t="str">
        <f ca="1">IF(O35=0,"",AF35)</f>
        <v/>
      </c>
      <c r="G35" s="936"/>
      <c r="H35" s="937"/>
      <c r="I35" s="174"/>
      <c r="O35" s="289">
        <f ca="1">IF(AND(Q$24,Q$213),1,0)</f>
        <v>0</v>
      </c>
      <c r="AA35" s="55" t="str">
        <f ca="1">INDIRECT(ADDRESS(ROW()+N_Offset_M,COLUMN(A35)+(N_SpracheAuswahl)*26,,,"Text"))</f>
        <v>Taggelder der Krankenversicherung</v>
      </c>
      <c r="AE35" s="55" t="str">
        <f t="shared" ca="1" si="4"/>
        <v>CHF</v>
      </c>
      <c r="AF35" s="55" t="str">
        <f ca="1">INDIRECT(ADDRESS(ROW()+N_Offset_M,COLUMN(F35)+(N_SpracheAuswahl)*26,,,"Text"))</f>
        <v>Auszahlung in diesem Monat</v>
      </c>
    </row>
    <row r="36" spans="1:43" x14ac:dyDescent="0.25">
      <c r="A36" s="934" t="str">
        <f t="shared" ca="1" si="5"/>
        <v>Überstunden (Auszahlung)</v>
      </c>
      <c r="B36" s="934"/>
      <c r="C36" s="934"/>
      <c r="D36" s="934"/>
      <c r="E36" s="92" t="str">
        <f t="shared" ca="1" si="6"/>
        <v>Stunden</v>
      </c>
      <c r="F36" s="92"/>
      <c r="G36" s="452" t="str">
        <f ca="1">IF(O36=0,"",IF(H36&gt;0,AG36,""))</f>
        <v/>
      </c>
      <c r="H36" s="453">
        <f ca="1">IF(O36=0,"",MAX(0,-SUM(F299:F304)))</f>
        <v>0</v>
      </c>
      <c r="I36" s="140"/>
      <c r="O36" s="289">
        <f t="shared" ca="1" si="3"/>
        <v>1</v>
      </c>
      <c r="AA36" s="55" t="str">
        <f t="shared" ca="1" si="2"/>
        <v>Überstunden (Auszahlung)</v>
      </c>
      <c r="AE36" s="55" t="str">
        <f t="shared" ca="1" si="4"/>
        <v>Stunden</v>
      </c>
      <c r="AG36" s="55" t="str">
        <f ca="1">INDIRECT(ADDRESS(ROW()+N_Offset_M,COLUMN(G36)+(N_SpracheAuswahl)*26,,,"Text"))</f>
        <v>aktueller Stand</v>
      </c>
    </row>
    <row r="37" spans="1:43" x14ac:dyDescent="0.25">
      <c r="A37" s="57" t="str">
        <f t="shared" ca="1" si="5"/>
        <v/>
      </c>
      <c r="B37" s="608"/>
      <c r="C37" s="608"/>
      <c r="D37" s="608"/>
      <c r="E37" s="92"/>
      <c r="F37" s="92" t="str">
        <f ca="1">IF(O37=0,"",AF37)</f>
        <v/>
      </c>
      <c r="G37" s="452"/>
      <c r="H37" s="453"/>
      <c r="I37" s="174"/>
      <c r="O37" s="289">
        <f ca="1">IF(Q$24,IF(VLOOKUP('  B  '!C84,A_JaNein_Auswahl,2,0)=1,1,0),0)</f>
        <v>0</v>
      </c>
      <c r="Q37" s="633">
        <f>ROW()</f>
        <v>37</v>
      </c>
      <c r="AA37" s="55" t="str">
        <f t="shared" ca="1" si="2"/>
        <v>Kinder- / Ausbildungszulage</v>
      </c>
      <c r="AF37" s="55" t="str">
        <f t="shared" ca="1" si="4"/>
        <v>Franken pro Monat</v>
      </c>
    </row>
    <row r="38" spans="1:43" x14ac:dyDescent="0.25">
      <c r="A38" s="57" t="str">
        <f t="shared" ca="1" si="5"/>
        <v/>
      </c>
      <c r="B38" s="608"/>
      <c r="C38" s="608"/>
      <c r="D38" s="608"/>
      <c r="E38" s="92" t="str">
        <f ca="1">IF(O38=0,"",AE38)</f>
        <v/>
      </c>
      <c r="F38" s="92"/>
      <c r="G38" s="452"/>
      <c r="H38" s="453"/>
      <c r="I38" s="618"/>
      <c r="O38" s="289">
        <f ca="1">IF(Q$24,IF(VLOOKUP('  B  '!C85,A_JaNein_Auswahl,2,0)=1,1,0),0)</f>
        <v>0</v>
      </c>
      <c r="Q38" s="633">
        <f>ROW()</f>
        <v>38</v>
      </c>
      <c r="AA38" s="55" t="str">
        <f t="shared" ca="1" si="2"/>
        <v>Quellensteuer</v>
      </c>
      <c r="AE38" s="55" t="str">
        <f t="shared" ca="1" si="4"/>
        <v>Prozent</v>
      </c>
    </row>
    <row r="39" spans="1:43" x14ac:dyDescent="0.25">
      <c r="A39" s="934" t="str">
        <f t="shared" ca="1" si="5"/>
        <v>Kost und Logis</v>
      </c>
      <c r="B39" s="934"/>
      <c r="C39" s="934"/>
      <c r="D39" s="934"/>
      <c r="E39" s="451" t="str">
        <f ca="1">IF(O39=0,"",AE39)</f>
        <v>CHF</v>
      </c>
      <c r="F39" s="619" t="str">
        <f ca="1">IF(O39=0,"",HYPERLINK(OFFSET(Vorgabewerte!A76,N_SpracheAuswahl,0),AF39))</f>
        <v>Merkblatt AHV 2.01</v>
      </c>
      <c r="I39" s="174"/>
      <c r="O39" s="289">
        <f t="shared" ca="1" si="3"/>
        <v>1</v>
      </c>
      <c r="AA39" s="55" t="str">
        <f t="shared" ca="1" si="2"/>
        <v>Kost und Logis</v>
      </c>
      <c r="AE39" s="55" t="str">
        <f t="shared" ca="1" si="4"/>
        <v>CHF</v>
      </c>
      <c r="AF39" s="55" t="str">
        <f ca="1">INDIRECT(ADDRESS(ROW()+N_Offset_M,COLUMN(F39)+(N_SpracheAuswahl)*26,,,"Text"))</f>
        <v>Merkblatt AHV 2.01</v>
      </c>
    </row>
    <row r="40" spans="1:43" x14ac:dyDescent="0.25">
      <c r="A40" s="57" t="str">
        <f t="shared" ca="1" si="5"/>
        <v>Spesen, Beschreibung (40 Zeichen)</v>
      </c>
      <c r="B40" s="57"/>
      <c r="C40" s="57"/>
      <c r="D40" s="57"/>
      <c r="E40" s="178"/>
      <c r="F40" s="929"/>
      <c r="G40" s="929"/>
      <c r="H40" s="929"/>
      <c r="I40" s="929"/>
      <c r="O40" s="289">
        <f t="shared" ca="1" si="3"/>
        <v>1</v>
      </c>
      <c r="AA40" s="55" t="str">
        <f t="shared" ca="1" si="2"/>
        <v>Spesen, Beschreibung (40 Zeichen)</v>
      </c>
    </row>
    <row r="41" spans="1:43" x14ac:dyDescent="0.25">
      <c r="A41" s="930" t="str">
        <f t="shared" ca="1" si="5"/>
        <v>Spesenbetrag</v>
      </c>
      <c r="B41" s="930"/>
      <c r="C41" s="930"/>
      <c r="D41" s="930"/>
      <c r="E41" s="931" t="str">
        <f ca="1">IF(O41=0,"",AE41)</f>
        <v>CHF</v>
      </c>
      <c r="F41" s="931"/>
      <c r="I41" s="175"/>
      <c r="O41" s="289">
        <f t="shared" ca="1" si="3"/>
        <v>1</v>
      </c>
      <c r="AA41" s="55" t="str">
        <f t="shared" ca="1" si="2"/>
        <v>Spesenbetrag</v>
      </c>
      <c r="AE41" s="55" t="str">
        <f ca="1">INDIRECT(ADDRESS(ROW()+N_Offset_M,COLUMN(E41)+(N_SpracheAuswahl)*26,,,"Text"))</f>
        <v>CHF</v>
      </c>
    </row>
    <row r="42" spans="1:43" x14ac:dyDescent="0.25">
      <c r="A42" s="934" t="str">
        <f t="shared" ca="1" si="5"/>
        <v>Weitere Beiträge / Abzüge, Beschreibung (40 Zeichen)</v>
      </c>
      <c r="B42" s="947"/>
      <c r="C42" s="947"/>
      <c r="D42" s="947"/>
      <c r="E42" s="948"/>
      <c r="F42" s="949"/>
      <c r="G42" s="950"/>
      <c r="H42" s="950"/>
      <c r="I42" s="951"/>
      <c r="O42" s="289">
        <f t="shared" ca="1" si="3"/>
        <v>1</v>
      </c>
      <c r="AA42" s="55" t="str">
        <f t="shared" ca="1" si="2"/>
        <v>Weitere Beiträge / Abzüge, Beschreibung (40 Zeichen)</v>
      </c>
    </row>
    <row r="43" spans="1:43" x14ac:dyDescent="0.25">
      <c r="A43" s="930" t="str">
        <f t="shared" ca="1" si="5"/>
        <v>Betrag</v>
      </c>
      <c r="B43" s="947"/>
      <c r="C43" s="947"/>
      <c r="D43" s="947"/>
      <c r="E43" s="891" t="str">
        <f ca="1">IF(O43=0,"",AE43)</f>
        <v>CHF ( Abzüge mit Minuszeichen)</v>
      </c>
      <c r="F43" s="881"/>
      <c r="G43" s="945"/>
      <c r="H43" s="946"/>
      <c r="I43" s="175"/>
      <c r="O43" s="289">
        <f t="shared" ca="1" si="3"/>
        <v>1</v>
      </c>
      <c r="AA43" s="55" t="str">
        <f t="shared" ca="1" si="2"/>
        <v>Betrag</v>
      </c>
      <c r="AE43" s="55" t="str">
        <f ca="1">INDIRECT(ADDRESS(ROW()+N_Offset_M,COLUMN(E43)+(N_SpracheAuswahl)*26,,,"Text"))</f>
        <v>CHF ( Abzüge mit Minuszeichen)</v>
      </c>
    </row>
    <row r="44" spans="1:43" x14ac:dyDescent="0.25">
      <c r="A44" s="952" t="str">
        <f t="shared" ca="1" si="5"/>
        <v>Bemerkung auf Lohnabrechnung, Zeile 1 (40 Zeichen)</v>
      </c>
      <c r="B44" s="947"/>
      <c r="C44" s="947"/>
      <c r="D44" s="947"/>
      <c r="E44" s="948"/>
      <c r="F44" s="949"/>
      <c r="G44" s="950"/>
      <c r="H44" s="950"/>
      <c r="I44" s="951"/>
      <c r="O44" s="289">
        <f t="shared" ca="1" si="3"/>
        <v>1</v>
      </c>
      <c r="AA44" s="55" t="str">
        <f t="shared" ca="1" si="2"/>
        <v>Bemerkung auf Lohnabrechnung, Zeile 1 (40 Zeichen)</v>
      </c>
    </row>
    <row r="45" spans="1:43" x14ac:dyDescent="0.25">
      <c r="A45" s="953" t="str">
        <f t="shared" ca="1" si="5"/>
        <v>Bemerkung auf Lohnabrechnung, Zeile 2 (40 Zeichen)</v>
      </c>
      <c r="B45" s="953"/>
      <c r="C45" s="953"/>
      <c r="D45" s="953"/>
      <c r="E45" s="954"/>
      <c r="F45" s="955"/>
      <c r="G45" s="955"/>
      <c r="H45" s="955"/>
      <c r="I45" s="955"/>
      <c r="O45" s="289">
        <f t="shared" ca="1" si="3"/>
        <v>1</v>
      </c>
      <c r="AA45" s="55" t="str">
        <f t="shared" ca="1" si="2"/>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7">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Februar 2024</v>
      </c>
      <c r="I51" s="63"/>
      <c r="J51" s="63"/>
      <c r="K51" s="63"/>
      <c r="L51" s="63"/>
      <c r="M51" s="55">
        <v>2</v>
      </c>
      <c r="N51" s="87"/>
      <c r="P51" s="313">
        <f t="shared" si="7"/>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7"/>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7"/>
        <v>0</v>
      </c>
      <c r="AH53" s="137"/>
      <c r="AM53" s="55"/>
      <c r="AO53" s="55"/>
      <c r="AQ53" s="55"/>
      <c r="BS53" s="137"/>
    </row>
    <row r="54" spans="1:71" x14ac:dyDescent="0.25">
      <c r="A54" s="63"/>
      <c r="B54" s="63"/>
      <c r="C54" s="63"/>
      <c r="D54" s="63"/>
      <c r="E54" s="63"/>
      <c r="F54" s="63"/>
      <c r="G54" s="63"/>
      <c r="I54" s="63"/>
      <c r="J54" s="63"/>
      <c r="K54" s="63"/>
      <c r="L54" s="63"/>
      <c r="M54" s="55">
        <v>5</v>
      </c>
      <c r="P54" s="313">
        <f t="shared" si="7"/>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7"/>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7"/>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7"/>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7"/>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7"/>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7"/>
        <v>0</v>
      </c>
      <c r="AH60" s="137"/>
      <c r="AM60" s="55"/>
      <c r="AO60" s="55"/>
      <c r="AQ60" s="55"/>
      <c r="BS60" s="137"/>
    </row>
    <row r="61" spans="1:71" x14ac:dyDescent="0.25">
      <c r="A61" s="63" t="str">
        <f t="shared" ref="A61:A92" ca="1" si="8">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7"/>
        <v>0</v>
      </c>
      <c r="AH61" s="137"/>
      <c r="AM61" s="55"/>
      <c r="AO61" s="55"/>
      <c r="AQ61" s="55"/>
      <c r="BS61" s="137"/>
    </row>
    <row r="62" spans="1:71" x14ac:dyDescent="0.25">
      <c r="A62" s="63" t="str">
        <f t="shared" ca="1" si="8"/>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7"/>
        <v>0</v>
      </c>
      <c r="AH62" s="137"/>
      <c r="AM62" s="55"/>
      <c r="AO62" s="55"/>
      <c r="AQ62" s="55"/>
      <c r="BS62" s="137"/>
    </row>
    <row r="63" spans="1:71" ht="42.75" customHeight="1" x14ac:dyDescent="0.25">
      <c r="A63" s="190" t="str">
        <f t="shared" ca="1" si="8"/>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7"/>
        <v>B</v>
      </c>
      <c r="AH63" s="137"/>
      <c r="AM63" s="55"/>
      <c r="AO63" s="55"/>
      <c r="AQ63" s="55"/>
      <c r="BS63" s="137"/>
    </row>
    <row r="64" spans="1:71" x14ac:dyDescent="0.25">
      <c r="A64" s="940">
        <f t="shared" ca="1" si="8"/>
        <v>0</v>
      </c>
      <c r="B64" s="940"/>
      <c r="C64" s="940"/>
      <c r="D64" s="940"/>
      <c r="E64" s="940"/>
      <c r="F64" s="940"/>
      <c r="G64" s="940"/>
      <c r="H64" s="587" t="str">
        <f t="shared" ref="H64:H95" ca="1" si="9">IF(ISERROR(INDEX(G$359:G$457,VLOOKUP(ROW(G64)-ROW(G$49),$J$359:$K$457,2,0),0)),"",IF(INDEX(G$359:G$457,VLOOKUP(ROW(G64)-ROW(G$49),$J$359:$K$457,2,0),0)=0,"",INDEX(G$359:G$457,VLOOKUP(ROW(G64)-ROW(G$49),$J$359:$K$457,2,0),0)))</f>
        <v/>
      </c>
      <c r="I64" s="454">
        <f t="shared" ref="I64:J83" ca="1" si="10">IF(ISERROR(INDEX(H$359:H$457,VLOOKUP(ROW(H64)-ROW(H$49),$J$359:$K$457,2,0),0)),"",INDEX(H$359:H$457,VLOOKUP(ROW(H64)-ROW(H$49),$J$359:$K$457,2,0),0))</f>
        <v>0</v>
      </c>
      <c r="J64" s="454">
        <f t="shared" ca="1" si="10"/>
        <v>0</v>
      </c>
      <c r="K64" s="63"/>
      <c r="L64" s="63"/>
      <c r="M64" s="55">
        <v>15</v>
      </c>
      <c r="N64" s="87"/>
      <c r="P64" s="313">
        <f t="shared" ca="1" si="7"/>
        <v>0</v>
      </c>
      <c r="AH64" s="137"/>
      <c r="AM64" s="55"/>
      <c r="AO64" s="55"/>
      <c r="AQ64" s="55"/>
      <c r="BS64" s="137"/>
    </row>
    <row r="65" spans="1:71" x14ac:dyDescent="0.25">
      <c r="A65" s="924" t="str">
        <f t="shared" ca="1" si="8"/>
        <v>Bruttolohn</v>
      </c>
      <c r="B65" s="924"/>
      <c r="C65" s="924"/>
      <c r="D65" s="924"/>
      <c r="E65" s="924"/>
      <c r="F65" s="924"/>
      <c r="G65" s="924"/>
      <c r="H65" s="587" t="str">
        <f t="shared" ca="1" si="9"/>
        <v/>
      </c>
      <c r="I65" s="454">
        <f t="shared" ca="1" si="10"/>
        <v>0</v>
      </c>
      <c r="J65" s="454">
        <f t="shared" ca="1" si="10"/>
        <v>0</v>
      </c>
      <c r="K65" s="63"/>
      <c r="L65" s="63"/>
      <c r="M65" s="55">
        <v>16</v>
      </c>
      <c r="P65" s="313" t="str">
        <f t="shared" ca="1" si="7"/>
        <v>BG</v>
      </c>
      <c r="AH65" s="137"/>
      <c r="AM65" s="55"/>
      <c r="AO65" s="55"/>
      <c r="AQ65" s="55"/>
      <c r="BS65" s="137"/>
    </row>
    <row r="66" spans="1:71" x14ac:dyDescent="0.25">
      <c r="A66" s="924">
        <f t="shared" ca="1" si="8"/>
        <v>0</v>
      </c>
      <c r="B66" s="924"/>
      <c r="C66" s="924"/>
      <c r="D66" s="924"/>
      <c r="E66" s="924"/>
      <c r="F66" s="924"/>
      <c r="G66" s="924"/>
      <c r="H66" s="587" t="str">
        <f t="shared" ca="1" si="9"/>
        <v/>
      </c>
      <c r="I66" s="454">
        <f t="shared" ca="1" si="10"/>
        <v>0</v>
      </c>
      <c r="J66" s="454">
        <f t="shared" ca="1" si="10"/>
        <v>0</v>
      </c>
      <c r="K66" s="63"/>
      <c r="L66" s="63"/>
      <c r="M66" s="55">
        <v>17</v>
      </c>
      <c r="P66" s="313">
        <f t="shared" ca="1" si="7"/>
        <v>0</v>
      </c>
      <c r="AH66" s="137"/>
      <c r="AM66" s="55"/>
      <c r="AO66" s="55"/>
      <c r="AQ66" s="55"/>
      <c r="BS66" s="137"/>
    </row>
    <row r="67" spans="1:71" x14ac:dyDescent="0.25">
      <c r="A67" s="924" t="str">
        <f t="shared" ca="1" si="8"/>
        <v>Sozialversicherungsabzüge</v>
      </c>
      <c r="B67" s="924"/>
      <c r="C67" s="924"/>
      <c r="D67" s="924"/>
      <c r="E67" s="924"/>
      <c r="F67" s="924"/>
      <c r="G67" s="924"/>
      <c r="H67" s="587" t="str">
        <f t="shared" ca="1" si="9"/>
        <v/>
      </c>
      <c r="I67" s="454">
        <f t="shared" ca="1" si="10"/>
        <v>0</v>
      </c>
      <c r="J67" s="454">
        <f t="shared" ca="1" si="10"/>
        <v>0</v>
      </c>
      <c r="K67" s="63"/>
      <c r="L67" s="63"/>
      <c r="M67" s="55">
        <v>18</v>
      </c>
      <c r="P67" s="313" t="str">
        <f t="shared" ca="1" si="7"/>
        <v>B</v>
      </c>
      <c r="AH67" s="137"/>
      <c r="AM67" s="55"/>
      <c r="AO67" s="55"/>
      <c r="AQ67" s="55"/>
      <c r="BS67" s="137"/>
    </row>
    <row r="68" spans="1:71" x14ac:dyDescent="0.25">
      <c r="A68" s="924">
        <f t="shared" ca="1" si="8"/>
        <v>0</v>
      </c>
      <c r="B68" s="924"/>
      <c r="C68" s="924"/>
      <c r="D68" s="924"/>
      <c r="E68" s="924"/>
      <c r="F68" s="924"/>
      <c r="G68" s="924"/>
      <c r="H68" s="587" t="str">
        <f t="shared" ca="1" si="9"/>
        <v/>
      </c>
      <c r="I68" s="454">
        <f t="shared" ca="1" si="10"/>
        <v>0</v>
      </c>
      <c r="J68" s="454">
        <f t="shared" ca="1" si="10"/>
        <v>0</v>
      </c>
      <c r="K68" s="63"/>
      <c r="L68" s="63"/>
      <c r="M68" s="55">
        <v>19</v>
      </c>
      <c r="P68" s="313">
        <f t="shared" ca="1" si="7"/>
        <v>0</v>
      </c>
      <c r="AH68" s="137"/>
      <c r="AM68" s="55"/>
      <c r="AO68" s="55"/>
      <c r="AQ68" s="55"/>
      <c r="BS68" s="137"/>
    </row>
    <row r="69" spans="1:71" x14ac:dyDescent="0.25">
      <c r="A69" s="924" t="str">
        <f t="shared" ca="1" si="8"/>
        <v>Total Abzüge</v>
      </c>
      <c r="B69" s="924"/>
      <c r="C69" s="924"/>
      <c r="D69" s="924"/>
      <c r="E69" s="924"/>
      <c r="F69" s="924"/>
      <c r="G69" s="924"/>
      <c r="H69" s="587" t="str">
        <f t="shared" ca="1" si="9"/>
        <v/>
      </c>
      <c r="I69" s="454">
        <f t="shared" ca="1" si="10"/>
        <v>0</v>
      </c>
      <c r="J69" s="454">
        <f t="shared" ca="1" si="10"/>
        <v>0</v>
      </c>
      <c r="K69" s="63"/>
      <c r="L69" s="63"/>
      <c r="M69" s="55">
        <v>20</v>
      </c>
      <c r="P69" s="313" t="str">
        <f t="shared" ca="1" si="7"/>
        <v>B</v>
      </c>
      <c r="AH69" s="137"/>
      <c r="AM69" s="55"/>
      <c r="AO69" s="55"/>
      <c r="AQ69" s="55"/>
      <c r="BS69" s="137"/>
    </row>
    <row r="70" spans="1:71" x14ac:dyDescent="0.25">
      <c r="A70" s="924">
        <f t="shared" ca="1" si="8"/>
        <v>0</v>
      </c>
      <c r="B70" s="924"/>
      <c r="C70" s="924"/>
      <c r="D70" s="924"/>
      <c r="E70" s="924"/>
      <c r="F70" s="924"/>
      <c r="G70" s="924"/>
      <c r="H70" s="587" t="str">
        <f t="shared" ca="1" si="9"/>
        <v/>
      </c>
      <c r="I70" s="454">
        <f t="shared" ca="1" si="10"/>
        <v>0</v>
      </c>
      <c r="J70" s="454">
        <f t="shared" ca="1" si="10"/>
        <v>0</v>
      </c>
      <c r="K70" s="63"/>
      <c r="L70" s="63"/>
      <c r="M70" s="55">
        <v>21</v>
      </c>
      <c r="P70" s="313">
        <f t="shared" ca="1" si="7"/>
        <v>0</v>
      </c>
      <c r="AH70" s="137"/>
      <c r="AM70" s="55"/>
      <c r="AO70" s="55"/>
      <c r="AQ70" s="55"/>
      <c r="BS70" s="137"/>
    </row>
    <row r="71" spans="1:71" x14ac:dyDescent="0.25">
      <c r="A71" s="924" t="str">
        <f t="shared" ca="1" si="8"/>
        <v>Nettolohn</v>
      </c>
      <c r="B71" s="924"/>
      <c r="C71" s="924"/>
      <c r="D71" s="924"/>
      <c r="E71" s="924"/>
      <c r="F71" s="924"/>
      <c r="G71" s="924"/>
      <c r="H71" s="587" t="str">
        <f t="shared" ca="1" si="9"/>
        <v/>
      </c>
      <c r="I71" s="454">
        <f t="shared" ca="1" si="10"/>
        <v>0</v>
      </c>
      <c r="J71" s="454">
        <f t="shared" ca="1" si="10"/>
        <v>0</v>
      </c>
      <c r="K71" s="63"/>
      <c r="L71" s="63"/>
      <c r="M71" s="55">
        <v>22</v>
      </c>
      <c r="P71" s="313" t="str">
        <f t="shared" ca="1" si="7"/>
        <v>BG</v>
      </c>
      <c r="AH71" s="137"/>
      <c r="AM71" s="55"/>
      <c r="AO71" s="55"/>
      <c r="AQ71" s="55"/>
      <c r="BS71" s="137"/>
    </row>
    <row r="72" spans="1:71" x14ac:dyDescent="0.25">
      <c r="A72" s="924">
        <f t="shared" ca="1" si="8"/>
        <v>0</v>
      </c>
      <c r="B72" s="924"/>
      <c r="C72" s="924"/>
      <c r="D72" s="924"/>
      <c r="E72" s="924"/>
      <c r="F72" s="924"/>
      <c r="G72" s="924"/>
      <c r="H72" s="587" t="str">
        <f t="shared" ca="1" si="9"/>
        <v/>
      </c>
      <c r="I72" s="454">
        <f t="shared" ca="1" si="10"/>
        <v>0</v>
      </c>
      <c r="J72" s="454">
        <f t="shared" ca="1" si="10"/>
        <v>0</v>
      </c>
      <c r="K72" s="63"/>
      <c r="L72" s="63"/>
      <c r="M72" s="55">
        <v>23</v>
      </c>
      <c r="P72" s="313">
        <f t="shared" ca="1" si="7"/>
        <v>0</v>
      </c>
      <c r="AH72" s="137"/>
      <c r="AM72" s="55"/>
      <c r="AO72" s="55"/>
      <c r="AQ72" s="55"/>
      <c r="BS72" s="137"/>
    </row>
    <row r="73" spans="1:71" x14ac:dyDescent="0.25">
      <c r="A73" s="924" t="str">
        <f t="shared" ca="1" si="8"/>
        <v>Auszahlungsbetrag</v>
      </c>
      <c r="B73" s="924"/>
      <c r="C73" s="924"/>
      <c r="D73" s="924"/>
      <c r="E73" s="924"/>
      <c r="F73" s="924"/>
      <c r="G73" s="924"/>
      <c r="H73" s="587" t="str">
        <f t="shared" ca="1" si="9"/>
        <v/>
      </c>
      <c r="I73" s="454" t="str">
        <f t="shared" ca="1" si="10"/>
        <v>CHF</v>
      </c>
      <c r="J73" s="454">
        <f t="shared" ca="1" si="10"/>
        <v>0</v>
      </c>
      <c r="K73" s="63"/>
      <c r="L73" s="63"/>
      <c r="M73" s="55">
        <v>24</v>
      </c>
      <c r="P73" s="313" t="str">
        <f t="shared" ca="1" si="7"/>
        <v>BG</v>
      </c>
      <c r="AH73" s="137"/>
      <c r="AM73" s="55"/>
      <c r="AO73" s="55"/>
      <c r="AQ73" s="55"/>
      <c r="BS73" s="137"/>
    </row>
    <row r="74" spans="1:71" x14ac:dyDescent="0.25">
      <c r="A74" s="924">
        <f t="shared" ca="1" si="8"/>
        <v>0</v>
      </c>
      <c r="B74" s="924"/>
      <c r="C74" s="924"/>
      <c r="D74" s="924"/>
      <c r="E74" s="924"/>
      <c r="F74" s="924"/>
      <c r="G74" s="924"/>
      <c r="H74" s="587" t="str">
        <f t="shared" ca="1" si="9"/>
        <v/>
      </c>
      <c r="I74" s="454">
        <f t="shared" ca="1" si="10"/>
        <v>0</v>
      </c>
      <c r="J74" s="454">
        <f t="shared" ca="1" si="10"/>
        <v>0</v>
      </c>
      <c r="K74" s="63"/>
      <c r="L74" s="63"/>
      <c r="M74" s="55">
        <v>25</v>
      </c>
      <c r="P74" s="313">
        <f t="shared" ca="1" si="7"/>
        <v>0</v>
      </c>
      <c r="AH74" s="137"/>
      <c r="AM74" s="55"/>
      <c r="AO74" s="55"/>
      <c r="AQ74" s="55"/>
      <c r="BS74" s="137"/>
    </row>
    <row r="75" spans="1:71" x14ac:dyDescent="0.25">
      <c r="A75" s="924" t="str">
        <f t="shared" ca="1" si="8"/>
        <v>Der Betrag wird wie folgt überwiesen:</v>
      </c>
      <c r="B75" s="924"/>
      <c r="C75" s="924"/>
      <c r="D75" s="924"/>
      <c r="E75" s="924"/>
      <c r="F75" s="924"/>
      <c r="G75" s="924"/>
      <c r="H75" s="587" t="str">
        <f t="shared" ca="1" si="9"/>
        <v/>
      </c>
      <c r="I75" s="454">
        <f t="shared" ca="1" si="10"/>
        <v>0</v>
      </c>
      <c r="J75" s="454">
        <f t="shared" ca="1" si="10"/>
        <v>0</v>
      </c>
      <c r="K75" s="63"/>
      <c r="L75" s="63"/>
      <c r="M75" s="55">
        <v>26</v>
      </c>
      <c r="P75" s="313">
        <f t="shared" ca="1" si="7"/>
        <v>0</v>
      </c>
      <c r="AH75" s="137"/>
      <c r="AM75" s="55"/>
      <c r="AO75" s="55"/>
      <c r="AQ75" s="55"/>
      <c r="BS75" s="137"/>
    </row>
    <row r="76" spans="1:71" x14ac:dyDescent="0.25">
      <c r="A76" s="924" t="str">
        <f t="shared" ca="1" si="8"/>
        <v xml:space="preserve">; </v>
      </c>
      <c r="B76" s="924"/>
      <c r="C76" s="924"/>
      <c r="D76" s="924"/>
      <c r="E76" s="924"/>
      <c r="F76" s="924"/>
      <c r="G76" s="924"/>
      <c r="H76" s="587" t="str">
        <f t="shared" ca="1" si="9"/>
        <v/>
      </c>
      <c r="I76" s="454">
        <f t="shared" ca="1" si="10"/>
        <v>0</v>
      </c>
      <c r="J76" s="454">
        <f t="shared" ca="1" si="10"/>
        <v>0</v>
      </c>
      <c r="K76" s="63"/>
      <c r="L76" s="63"/>
      <c r="M76" s="55">
        <v>27</v>
      </c>
      <c r="P76" s="313">
        <f t="shared" ca="1" si="7"/>
        <v>0</v>
      </c>
      <c r="AH76" s="137"/>
      <c r="AM76" s="55"/>
      <c r="AO76" s="55"/>
      <c r="AQ76" s="55"/>
      <c r="BS76" s="137"/>
    </row>
    <row r="77" spans="1:71" x14ac:dyDescent="0.25">
      <c r="A77" s="924">
        <f t="shared" ca="1" si="8"/>
        <v>0</v>
      </c>
      <c r="B77" s="924"/>
      <c r="C77" s="924"/>
      <c r="D77" s="924"/>
      <c r="E77" s="924"/>
      <c r="F77" s="924"/>
      <c r="G77" s="924"/>
      <c r="H77" s="587" t="str">
        <f t="shared" ca="1" si="9"/>
        <v/>
      </c>
      <c r="I77" s="454">
        <f t="shared" ca="1" si="10"/>
        <v>0</v>
      </c>
      <c r="J77" s="454">
        <f t="shared" ca="1" si="10"/>
        <v>0</v>
      </c>
      <c r="K77" s="63"/>
      <c r="L77" s="63"/>
      <c r="M77" s="55">
        <v>28</v>
      </c>
      <c r="P77" s="313">
        <f t="shared" ca="1" si="7"/>
        <v>0</v>
      </c>
      <c r="AH77" s="137"/>
      <c r="AM77" s="55"/>
      <c r="AO77" s="55"/>
      <c r="AQ77" s="55"/>
      <c r="BS77" s="137"/>
    </row>
    <row r="78" spans="1:71" x14ac:dyDescent="0.25">
      <c r="A78" s="924" t="str">
        <f t="shared" ca="1" si="8"/>
        <v xml:space="preserve">Bitte Lohnabrechnung sofort überprüfen und Unstimmigkeiten melden. </v>
      </c>
      <c r="B78" s="924"/>
      <c r="C78" s="924"/>
      <c r="D78" s="924"/>
      <c r="E78" s="924"/>
      <c r="F78" s="924"/>
      <c r="G78" s="924"/>
      <c r="H78" s="587" t="str">
        <f t="shared" ca="1" si="9"/>
        <v/>
      </c>
      <c r="I78" s="454">
        <f t="shared" ca="1" si="10"/>
        <v>0</v>
      </c>
      <c r="J78" s="454">
        <f t="shared" ca="1" si="10"/>
        <v>0</v>
      </c>
      <c r="K78" s="63"/>
      <c r="L78" s="63"/>
      <c r="M78" s="55">
        <v>29</v>
      </c>
      <c r="P78" s="313">
        <f t="shared" ca="1" si="7"/>
        <v>0</v>
      </c>
      <c r="AH78" s="137"/>
      <c r="AM78" s="55"/>
      <c r="AO78" s="55"/>
      <c r="AQ78" s="55"/>
      <c r="BS78" s="137"/>
    </row>
    <row r="79" spans="1:71" x14ac:dyDescent="0.25">
      <c r="A79" s="924" t="str">
        <f t="shared" ca="1" si="8"/>
        <v xml:space="preserve">Danke. </v>
      </c>
      <c r="B79" s="924"/>
      <c r="C79" s="924"/>
      <c r="D79" s="924"/>
      <c r="E79" s="924"/>
      <c r="F79" s="924"/>
      <c r="G79" s="924"/>
      <c r="H79" s="587" t="str">
        <f t="shared" ca="1" si="9"/>
        <v/>
      </c>
      <c r="I79" s="454">
        <f t="shared" ca="1" si="10"/>
        <v>0</v>
      </c>
      <c r="J79" s="454">
        <f t="shared" ca="1" si="10"/>
        <v>0</v>
      </c>
      <c r="K79" s="63"/>
      <c r="L79" s="63"/>
      <c r="M79" s="55">
        <v>30</v>
      </c>
      <c r="P79" s="313">
        <f t="shared" ca="1" si="7"/>
        <v>0</v>
      </c>
      <c r="AH79" s="137"/>
      <c r="AM79" s="55"/>
      <c r="AO79" s="55"/>
      <c r="AQ79" s="55"/>
      <c r="BS79" s="137"/>
    </row>
    <row r="80" spans="1:71" x14ac:dyDescent="0.25">
      <c r="A80" s="924" t="str">
        <f t="shared" ca="1" si="8"/>
        <v/>
      </c>
      <c r="B80" s="924"/>
      <c r="C80" s="924"/>
      <c r="D80" s="924"/>
      <c r="E80" s="924"/>
      <c r="F80" s="924"/>
      <c r="G80" s="924"/>
      <c r="H80" s="587" t="str">
        <f t="shared" ca="1" si="9"/>
        <v/>
      </c>
      <c r="I80" s="454" t="str">
        <f t="shared" ca="1" si="10"/>
        <v/>
      </c>
      <c r="J80" s="454" t="str">
        <f t="shared" ca="1" si="10"/>
        <v/>
      </c>
      <c r="K80" s="63"/>
      <c r="L80" s="63"/>
      <c r="M80" s="55">
        <v>31</v>
      </c>
      <c r="P80" s="313" t="str">
        <f t="shared" ca="1" si="7"/>
        <v/>
      </c>
      <c r="AH80" s="137"/>
      <c r="AM80" s="55"/>
      <c r="AO80" s="55"/>
      <c r="AQ80" s="55"/>
      <c r="BS80" s="137"/>
    </row>
    <row r="81" spans="1:71" x14ac:dyDescent="0.25">
      <c r="A81" s="924" t="str">
        <f t="shared" ca="1" si="8"/>
        <v/>
      </c>
      <c r="B81" s="924"/>
      <c r="C81" s="924"/>
      <c r="D81" s="924"/>
      <c r="E81" s="924"/>
      <c r="F81" s="924"/>
      <c r="G81" s="924"/>
      <c r="H81" s="587" t="str">
        <f t="shared" ca="1" si="9"/>
        <v/>
      </c>
      <c r="I81" s="454" t="str">
        <f t="shared" ca="1" si="10"/>
        <v/>
      </c>
      <c r="J81" s="454" t="str">
        <f t="shared" ca="1" si="10"/>
        <v/>
      </c>
      <c r="K81" s="63"/>
      <c r="L81" s="63"/>
      <c r="M81" s="55">
        <v>32</v>
      </c>
      <c r="P81" s="313" t="str">
        <f t="shared" ca="1" si="7"/>
        <v/>
      </c>
      <c r="AH81" s="137"/>
      <c r="AM81" s="55"/>
      <c r="AO81" s="55"/>
      <c r="AQ81" s="55"/>
      <c r="BS81" s="137"/>
    </row>
    <row r="82" spans="1:71" x14ac:dyDescent="0.25">
      <c r="A82" s="924" t="str">
        <f t="shared" ca="1" si="8"/>
        <v/>
      </c>
      <c r="B82" s="924"/>
      <c r="C82" s="924"/>
      <c r="D82" s="924"/>
      <c r="E82" s="924"/>
      <c r="F82" s="924"/>
      <c r="G82" s="924"/>
      <c r="H82" s="587" t="str">
        <f t="shared" ca="1" si="9"/>
        <v/>
      </c>
      <c r="I82" s="454" t="str">
        <f t="shared" ca="1" si="10"/>
        <v/>
      </c>
      <c r="J82" s="454" t="str">
        <f t="shared" ca="1" si="10"/>
        <v/>
      </c>
      <c r="K82" s="63"/>
      <c r="L82" s="63"/>
      <c r="M82" s="55">
        <v>33</v>
      </c>
      <c r="P82" s="313" t="str">
        <f t="shared" ref="P82:P113" ca="1" si="11">IF(ISERROR(INDEX(L$359:L$457,VLOOKUP(ROW(P82)-ROW(P$49),$J$359:$K$457,2,0),0)),"",INDEX(L$359:L$457,VLOOKUP(ROW(P82)-ROW(P$49),$J$359:$K$457,2,0),0))</f>
        <v/>
      </c>
      <c r="AH82" s="137"/>
      <c r="AM82" s="55"/>
      <c r="AO82" s="55"/>
      <c r="AQ82" s="55"/>
      <c r="BS82" s="137"/>
    </row>
    <row r="83" spans="1:71" x14ac:dyDescent="0.25">
      <c r="A83" s="924" t="str">
        <f t="shared" ca="1" si="8"/>
        <v/>
      </c>
      <c r="B83" s="924"/>
      <c r="C83" s="924"/>
      <c r="D83" s="924"/>
      <c r="E83" s="924"/>
      <c r="F83" s="924"/>
      <c r="G83" s="924"/>
      <c r="H83" s="587" t="str">
        <f t="shared" ca="1" si="9"/>
        <v/>
      </c>
      <c r="I83" s="454" t="str">
        <f t="shared" ca="1" si="10"/>
        <v/>
      </c>
      <c r="J83" s="454" t="str">
        <f t="shared" ca="1" si="10"/>
        <v/>
      </c>
      <c r="K83" s="63"/>
      <c r="L83" s="63"/>
      <c r="M83" s="55">
        <v>34</v>
      </c>
      <c r="P83" s="313" t="str">
        <f t="shared" ca="1" si="11"/>
        <v/>
      </c>
      <c r="AH83" s="137"/>
      <c r="AM83" s="55"/>
      <c r="AO83" s="55"/>
      <c r="AQ83" s="55"/>
      <c r="BS83" s="137"/>
    </row>
    <row r="84" spans="1:71" x14ac:dyDescent="0.25">
      <c r="A84" s="924" t="str">
        <f t="shared" ca="1" si="8"/>
        <v/>
      </c>
      <c r="B84" s="924"/>
      <c r="C84" s="924"/>
      <c r="D84" s="924"/>
      <c r="E84" s="924"/>
      <c r="F84" s="924"/>
      <c r="G84" s="924"/>
      <c r="H84" s="587" t="str">
        <f t="shared" ca="1" si="9"/>
        <v/>
      </c>
      <c r="I84" s="454" t="str">
        <f t="shared" ref="I84:J103" ca="1" si="12">IF(ISERROR(INDEX(H$359:H$457,VLOOKUP(ROW(H84)-ROW(H$49),$J$359:$K$457,2,0),0)),"",INDEX(H$359:H$457,VLOOKUP(ROW(H84)-ROW(H$49),$J$359:$K$457,2,0),0))</f>
        <v/>
      </c>
      <c r="J84" s="454" t="str">
        <f t="shared" ca="1" si="12"/>
        <v/>
      </c>
      <c r="K84" s="63"/>
      <c r="L84" s="63"/>
      <c r="M84" s="55">
        <v>35</v>
      </c>
      <c r="P84" s="313" t="str">
        <f t="shared" ca="1" si="11"/>
        <v/>
      </c>
      <c r="AH84" s="137"/>
      <c r="AM84" s="55"/>
      <c r="AO84" s="55"/>
      <c r="AQ84" s="55"/>
      <c r="BS84" s="137"/>
    </row>
    <row r="85" spans="1:71" x14ac:dyDescent="0.25">
      <c r="A85" s="924" t="str">
        <f t="shared" ca="1" si="8"/>
        <v/>
      </c>
      <c r="B85" s="924"/>
      <c r="C85" s="924"/>
      <c r="D85" s="924"/>
      <c r="E85" s="924"/>
      <c r="F85" s="924"/>
      <c r="G85" s="924"/>
      <c r="H85" s="587" t="str">
        <f t="shared" ca="1" si="9"/>
        <v/>
      </c>
      <c r="I85" s="454" t="str">
        <f t="shared" ca="1" si="12"/>
        <v/>
      </c>
      <c r="J85" s="454" t="str">
        <f t="shared" ca="1" si="12"/>
        <v/>
      </c>
      <c r="K85" s="63"/>
      <c r="L85" s="63"/>
      <c r="M85" s="55">
        <v>36</v>
      </c>
      <c r="P85" s="313" t="str">
        <f t="shared" ca="1" si="11"/>
        <v/>
      </c>
      <c r="AH85" s="137"/>
      <c r="AM85" s="55"/>
      <c r="AO85" s="55"/>
      <c r="AQ85" s="55"/>
      <c r="BS85" s="137"/>
    </row>
    <row r="86" spans="1:71" x14ac:dyDescent="0.25">
      <c r="A86" s="924" t="str">
        <f t="shared" ca="1" si="8"/>
        <v/>
      </c>
      <c r="B86" s="924"/>
      <c r="C86" s="924"/>
      <c r="D86" s="924"/>
      <c r="E86" s="924"/>
      <c r="F86" s="924"/>
      <c r="G86" s="924"/>
      <c r="H86" s="587" t="str">
        <f t="shared" ca="1" si="9"/>
        <v/>
      </c>
      <c r="I86" s="454" t="str">
        <f t="shared" ca="1" si="12"/>
        <v/>
      </c>
      <c r="J86" s="454" t="str">
        <f t="shared" ca="1" si="12"/>
        <v/>
      </c>
      <c r="K86" s="63"/>
      <c r="L86" s="63"/>
      <c r="M86" s="55">
        <v>37</v>
      </c>
      <c r="P86" s="313" t="str">
        <f t="shared" ca="1" si="11"/>
        <v/>
      </c>
      <c r="AH86" s="137"/>
      <c r="AM86" s="55"/>
      <c r="AO86" s="55"/>
      <c r="AQ86" s="55"/>
      <c r="BS86" s="137"/>
    </row>
    <row r="87" spans="1:71" x14ac:dyDescent="0.25">
      <c r="A87" s="924" t="str">
        <f t="shared" ca="1" si="8"/>
        <v/>
      </c>
      <c r="B87" s="924"/>
      <c r="C87" s="924"/>
      <c r="D87" s="924"/>
      <c r="E87" s="924"/>
      <c r="F87" s="924"/>
      <c r="G87" s="924"/>
      <c r="H87" s="587" t="str">
        <f t="shared" ca="1" si="9"/>
        <v/>
      </c>
      <c r="I87" s="454" t="str">
        <f t="shared" ca="1" si="12"/>
        <v/>
      </c>
      <c r="J87" s="454" t="str">
        <f t="shared" ca="1" si="12"/>
        <v/>
      </c>
      <c r="K87" s="63"/>
      <c r="L87" s="63"/>
      <c r="M87" s="55">
        <v>38</v>
      </c>
      <c r="P87" s="313" t="str">
        <f t="shared" ca="1" si="11"/>
        <v/>
      </c>
      <c r="AH87" s="137"/>
      <c r="AM87" s="55"/>
      <c r="AO87" s="55"/>
      <c r="AQ87" s="55"/>
      <c r="BS87" s="137"/>
    </row>
    <row r="88" spans="1:71" x14ac:dyDescent="0.25">
      <c r="A88" s="924" t="str">
        <f t="shared" ca="1" si="8"/>
        <v/>
      </c>
      <c r="B88" s="924"/>
      <c r="C88" s="924"/>
      <c r="D88" s="924"/>
      <c r="E88" s="924"/>
      <c r="F88" s="924"/>
      <c r="G88" s="924"/>
      <c r="H88" s="587" t="str">
        <f t="shared" ca="1" si="9"/>
        <v/>
      </c>
      <c r="I88" s="454" t="str">
        <f t="shared" ca="1" si="12"/>
        <v/>
      </c>
      <c r="J88" s="454" t="str">
        <f t="shared" ca="1" si="12"/>
        <v/>
      </c>
      <c r="K88" s="63"/>
      <c r="L88" s="63"/>
      <c r="M88" s="55">
        <v>39</v>
      </c>
      <c r="P88" s="313" t="str">
        <f t="shared" ca="1" si="11"/>
        <v/>
      </c>
      <c r="AH88" s="137"/>
      <c r="AM88" s="55"/>
      <c r="AO88" s="55"/>
      <c r="AQ88" s="55"/>
      <c r="BS88" s="137"/>
    </row>
    <row r="89" spans="1:71" x14ac:dyDescent="0.25">
      <c r="A89" s="924" t="str">
        <f t="shared" ca="1" si="8"/>
        <v/>
      </c>
      <c r="B89" s="924"/>
      <c r="C89" s="924"/>
      <c r="D89" s="924"/>
      <c r="E89" s="924"/>
      <c r="F89" s="924"/>
      <c r="G89" s="924"/>
      <c r="H89" s="587" t="str">
        <f t="shared" ca="1" si="9"/>
        <v/>
      </c>
      <c r="I89" s="454" t="str">
        <f t="shared" ca="1" si="12"/>
        <v/>
      </c>
      <c r="J89" s="454" t="str">
        <f t="shared" ca="1" si="12"/>
        <v/>
      </c>
      <c r="K89" s="63"/>
      <c r="L89" s="63"/>
      <c r="M89" s="55">
        <v>40</v>
      </c>
      <c r="P89" s="313" t="str">
        <f t="shared" ca="1" si="11"/>
        <v/>
      </c>
      <c r="AH89" s="137"/>
      <c r="AM89" s="55"/>
      <c r="AO89" s="55"/>
      <c r="AQ89" s="55"/>
      <c r="BS89" s="137"/>
    </row>
    <row r="90" spans="1:71" x14ac:dyDescent="0.25">
      <c r="A90" s="924" t="str">
        <f t="shared" ca="1" si="8"/>
        <v/>
      </c>
      <c r="B90" s="924"/>
      <c r="C90" s="924"/>
      <c r="D90" s="924"/>
      <c r="E90" s="924"/>
      <c r="F90" s="924"/>
      <c r="G90" s="924"/>
      <c r="H90" s="587" t="str">
        <f t="shared" ca="1" si="9"/>
        <v/>
      </c>
      <c r="I90" s="454" t="str">
        <f t="shared" ca="1" si="12"/>
        <v/>
      </c>
      <c r="J90" s="454" t="str">
        <f t="shared" ca="1" si="12"/>
        <v/>
      </c>
      <c r="K90" s="63"/>
      <c r="L90" s="63"/>
      <c r="M90" s="55">
        <v>41</v>
      </c>
      <c r="P90" s="313" t="str">
        <f t="shared" ca="1" si="11"/>
        <v/>
      </c>
      <c r="AH90" s="137"/>
      <c r="AM90" s="55"/>
      <c r="AO90" s="55"/>
      <c r="AQ90" s="55"/>
      <c r="BS90" s="137"/>
    </row>
    <row r="91" spans="1:71" x14ac:dyDescent="0.25">
      <c r="A91" s="924" t="str">
        <f t="shared" ca="1" si="8"/>
        <v/>
      </c>
      <c r="B91" s="924"/>
      <c r="C91" s="924"/>
      <c r="D91" s="924"/>
      <c r="E91" s="924"/>
      <c r="F91" s="924"/>
      <c r="G91" s="924"/>
      <c r="H91" s="587" t="str">
        <f t="shared" ca="1" si="9"/>
        <v/>
      </c>
      <c r="I91" s="454" t="str">
        <f t="shared" ca="1" si="12"/>
        <v/>
      </c>
      <c r="J91" s="454" t="str">
        <f t="shared" ca="1" si="12"/>
        <v/>
      </c>
      <c r="K91" s="63"/>
      <c r="L91" s="63"/>
      <c r="M91" s="55">
        <v>42</v>
      </c>
      <c r="P91" s="313" t="str">
        <f t="shared" ca="1" si="11"/>
        <v/>
      </c>
      <c r="AH91" s="137"/>
      <c r="AM91" s="55"/>
      <c r="AO91" s="55"/>
      <c r="AQ91" s="55"/>
      <c r="BS91" s="137"/>
    </row>
    <row r="92" spans="1:71" x14ac:dyDescent="0.25">
      <c r="A92" s="924" t="str">
        <f t="shared" ca="1" si="8"/>
        <v/>
      </c>
      <c r="B92" s="924"/>
      <c r="C92" s="924"/>
      <c r="D92" s="924"/>
      <c r="E92" s="924"/>
      <c r="F92" s="924"/>
      <c r="G92" s="924"/>
      <c r="H92" s="587" t="str">
        <f t="shared" ca="1" si="9"/>
        <v/>
      </c>
      <c r="I92" s="454" t="str">
        <f t="shared" ca="1" si="12"/>
        <v/>
      </c>
      <c r="J92" s="454" t="str">
        <f t="shared" ca="1" si="12"/>
        <v/>
      </c>
      <c r="K92" s="63"/>
      <c r="L92" s="63"/>
      <c r="M92" s="55">
        <v>43</v>
      </c>
      <c r="P92" s="313" t="str">
        <f t="shared" ca="1" si="11"/>
        <v/>
      </c>
      <c r="AH92" s="137"/>
      <c r="AM92" s="55"/>
      <c r="AO92" s="55"/>
      <c r="AQ92" s="55"/>
      <c r="BS92" s="137"/>
    </row>
    <row r="93" spans="1:71" x14ac:dyDescent="0.25">
      <c r="A93" s="924" t="str">
        <f t="shared" ref="A93:A124" ca="1" si="13">IF(ISERROR(INDEX(A$359:A$457,VLOOKUP(ROW(A93)-ROW(A$49),$J$359:$K$457,2,0),0)),"",INDEX(A$359:A$457,VLOOKUP(ROW(A93)-ROW(A$49),$J$359:$K$457,2,0),0))</f>
        <v/>
      </c>
      <c r="B93" s="924"/>
      <c r="C93" s="924"/>
      <c r="D93" s="924"/>
      <c r="E93" s="924"/>
      <c r="F93" s="924"/>
      <c r="G93" s="924"/>
      <c r="H93" s="587" t="str">
        <f t="shared" ca="1" si="9"/>
        <v/>
      </c>
      <c r="I93" s="454" t="str">
        <f t="shared" ca="1" si="12"/>
        <v/>
      </c>
      <c r="J93" s="454" t="str">
        <f t="shared" ca="1" si="12"/>
        <v/>
      </c>
      <c r="K93" s="63"/>
      <c r="L93" s="63"/>
      <c r="M93" s="55">
        <v>44</v>
      </c>
      <c r="P93" s="313" t="str">
        <f t="shared" ca="1" si="11"/>
        <v/>
      </c>
      <c r="AH93" s="137"/>
      <c r="AM93" s="55"/>
      <c r="AO93" s="55"/>
      <c r="AQ93" s="55"/>
      <c r="BS93" s="137"/>
    </row>
    <row r="94" spans="1:71" x14ac:dyDescent="0.25">
      <c r="A94" s="924" t="str">
        <f t="shared" ca="1" si="13"/>
        <v/>
      </c>
      <c r="B94" s="924"/>
      <c r="C94" s="924"/>
      <c r="D94" s="924"/>
      <c r="E94" s="924"/>
      <c r="F94" s="924"/>
      <c r="G94" s="924"/>
      <c r="H94" s="587" t="str">
        <f t="shared" ca="1" si="9"/>
        <v/>
      </c>
      <c r="I94" s="454" t="str">
        <f t="shared" ca="1" si="12"/>
        <v/>
      </c>
      <c r="J94" s="454" t="str">
        <f t="shared" ca="1" si="12"/>
        <v/>
      </c>
      <c r="K94" s="63"/>
      <c r="L94" s="63"/>
      <c r="M94" s="55">
        <v>45</v>
      </c>
      <c r="N94" s="87"/>
      <c r="P94" s="313" t="str">
        <f t="shared" ca="1" si="11"/>
        <v/>
      </c>
      <c r="AH94" s="137"/>
      <c r="AM94" s="55"/>
      <c r="AO94" s="55"/>
      <c r="AQ94" s="55"/>
      <c r="BS94" s="137"/>
    </row>
    <row r="95" spans="1:71" x14ac:dyDescent="0.25">
      <c r="A95" s="924" t="str">
        <f t="shared" ca="1" si="13"/>
        <v/>
      </c>
      <c r="B95" s="924"/>
      <c r="C95" s="924"/>
      <c r="D95" s="924"/>
      <c r="E95" s="924"/>
      <c r="F95" s="924"/>
      <c r="G95" s="924"/>
      <c r="H95" s="587" t="str">
        <f t="shared" ca="1" si="9"/>
        <v/>
      </c>
      <c r="I95" s="454" t="str">
        <f t="shared" ca="1" si="12"/>
        <v/>
      </c>
      <c r="J95" s="454" t="str">
        <f t="shared" ca="1" si="12"/>
        <v/>
      </c>
      <c r="K95" s="63"/>
      <c r="L95" s="63"/>
      <c r="M95" s="55">
        <v>46</v>
      </c>
      <c r="P95" s="313" t="str">
        <f t="shared" ca="1" si="11"/>
        <v/>
      </c>
      <c r="AH95" s="137"/>
      <c r="AM95" s="55"/>
      <c r="AO95" s="55"/>
      <c r="AQ95" s="55"/>
      <c r="BS95" s="137"/>
    </row>
    <row r="96" spans="1:71" x14ac:dyDescent="0.25">
      <c r="A96" s="924" t="str">
        <f t="shared" ca="1" si="13"/>
        <v/>
      </c>
      <c r="B96" s="924"/>
      <c r="C96" s="924"/>
      <c r="D96" s="924"/>
      <c r="E96" s="924"/>
      <c r="F96" s="924"/>
      <c r="G96" s="924"/>
      <c r="H96" s="587" t="str">
        <f t="shared" ref="H96:H127" ca="1" si="14">IF(ISERROR(INDEX(G$359:G$457,VLOOKUP(ROW(G96)-ROW(G$49),$J$359:$K$457,2,0),0)),"",IF(INDEX(G$359:G$457,VLOOKUP(ROW(G96)-ROW(G$49),$J$359:$K$457,2,0),0)=0,"",INDEX(G$359:G$457,VLOOKUP(ROW(G96)-ROW(G$49),$J$359:$K$457,2,0),0)))</f>
        <v/>
      </c>
      <c r="I96" s="454" t="str">
        <f t="shared" ca="1" si="12"/>
        <v/>
      </c>
      <c r="J96" s="454" t="str">
        <f t="shared" ca="1" si="12"/>
        <v/>
      </c>
      <c r="K96" s="63"/>
      <c r="L96" s="63"/>
      <c r="M96" s="55">
        <v>47</v>
      </c>
      <c r="P96" s="313" t="str">
        <f t="shared" ca="1" si="11"/>
        <v/>
      </c>
      <c r="AH96" s="137"/>
      <c r="AM96" s="55"/>
      <c r="AO96" s="55"/>
      <c r="AQ96" s="55"/>
      <c r="BS96" s="137"/>
    </row>
    <row r="97" spans="1:71" x14ac:dyDescent="0.25">
      <c r="A97" s="924" t="str">
        <f t="shared" ca="1" si="13"/>
        <v/>
      </c>
      <c r="B97" s="924"/>
      <c r="C97" s="924"/>
      <c r="D97" s="924"/>
      <c r="E97" s="924"/>
      <c r="F97" s="924"/>
      <c r="G97" s="924"/>
      <c r="H97" s="587" t="str">
        <f t="shared" ca="1" si="14"/>
        <v/>
      </c>
      <c r="I97" s="454" t="str">
        <f t="shared" ca="1" si="12"/>
        <v/>
      </c>
      <c r="J97" s="454" t="str">
        <f t="shared" ca="1" si="12"/>
        <v/>
      </c>
      <c r="K97" s="63"/>
      <c r="L97" s="63"/>
      <c r="M97" s="55">
        <v>48</v>
      </c>
      <c r="P97" s="313" t="str">
        <f t="shared" ca="1" si="11"/>
        <v/>
      </c>
      <c r="AH97" s="137"/>
      <c r="AM97" s="55"/>
      <c r="AO97" s="55"/>
      <c r="AQ97" s="55"/>
      <c r="BS97" s="137"/>
    </row>
    <row r="98" spans="1:71" x14ac:dyDescent="0.25">
      <c r="A98" s="924" t="str">
        <f t="shared" ca="1" si="13"/>
        <v/>
      </c>
      <c r="B98" s="924"/>
      <c r="C98" s="924"/>
      <c r="D98" s="924"/>
      <c r="E98" s="924"/>
      <c r="F98" s="924"/>
      <c r="G98" s="924"/>
      <c r="H98" s="587" t="str">
        <f t="shared" ca="1" si="14"/>
        <v/>
      </c>
      <c r="I98" s="454" t="str">
        <f t="shared" ca="1" si="12"/>
        <v/>
      </c>
      <c r="J98" s="454" t="str">
        <f t="shared" ca="1" si="12"/>
        <v/>
      </c>
      <c r="K98" s="63"/>
      <c r="L98" s="63"/>
      <c r="M98" s="55">
        <v>49</v>
      </c>
      <c r="P98" s="313" t="str">
        <f t="shared" ca="1" si="11"/>
        <v/>
      </c>
      <c r="AH98" s="137"/>
      <c r="AM98" s="55"/>
      <c r="AO98" s="55"/>
      <c r="AQ98" s="55"/>
      <c r="BS98" s="137"/>
    </row>
    <row r="99" spans="1:71" x14ac:dyDescent="0.25">
      <c r="A99" s="924" t="str">
        <f t="shared" ca="1" si="13"/>
        <v/>
      </c>
      <c r="B99" s="924"/>
      <c r="C99" s="924"/>
      <c r="D99" s="924"/>
      <c r="E99" s="924"/>
      <c r="F99" s="924"/>
      <c r="G99" s="924"/>
      <c r="H99" s="587" t="str">
        <f t="shared" ca="1" si="14"/>
        <v/>
      </c>
      <c r="I99" s="454" t="str">
        <f t="shared" ca="1" si="12"/>
        <v/>
      </c>
      <c r="J99" s="454" t="str">
        <f t="shared" ca="1" si="12"/>
        <v/>
      </c>
      <c r="K99" s="63"/>
      <c r="L99" s="63"/>
      <c r="M99" s="55">
        <v>50</v>
      </c>
      <c r="P99" s="313" t="str">
        <f t="shared" ca="1" si="11"/>
        <v/>
      </c>
      <c r="AH99" s="137"/>
      <c r="AM99" s="55"/>
      <c r="AO99" s="55"/>
      <c r="AQ99" s="55"/>
      <c r="BS99" s="137"/>
    </row>
    <row r="100" spans="1:71" x14ac:dyDescent="0.25">
      <c r="A100" s="924" t="str">
        <f t="shared" ca="1" si="13"/>
        <v/>
      </c>
      <c r="B100" s="924"/>
      <c r="C100" s="924"/>
      <c r="D100" s="924"/>
      <c r="E100" s="924"/>
      <c r="F100" s="924"/>
      <c r="G100" s="924"/>
      <c r="H100" s="587" t="str">
        <f t="shared" ca="1" si="14"/>
        <v/>
      </c>
      <c r="I100" s="454" t="str">
        <f t="shared" ca="1" si="12"/>
        <v/>
      </c>
      <c r="J100" s="454" t="str">
        <f t="shared" ca="1" si="12"/>
        <v/>
      </c>
      <c r="K100" s="63"/>
      <c r="L100" s="63"/>
      <c r="M100" s="55">
        <v>51</v>
      </c>
      <c r="P100" s="313" t="str">
        <f t="shared" ca="1" si="11"/>
        <v/>
      </c>
      <c r="AH100" s="137"/>
      <c r="AM100" s="55"/>
      <c r="AO100" s="55"/>
      <c r="AQ100" s="55"/>
      <c r="BS100" s="137"/>
    </row>
    <row r="101" spans="1:71" x14ac:dyDescent="0.25">
      <c r="A101" s="924" t="str">
        <f t="shared" ca="1" si="13"/>
        <v/>
      </c>
      <c r="B101" s="924"/>
      <c r="C101" s="924"/>
      <c r="D101" s="924"/>
      <c r="E101" s="924"/>
      <c r="F101" s="924"/>
      <c r="G101" s="924"/>
      <c r="H101" s="587" t="str">
        <f t="shared" ca="1" si="14"/>
        <v/>
      </c>
      <c r="I101" s="454" t="str">
        <f t="shared" ca="1" si="12"/>
        <v/>
      </c>
      <c r="J101" s="454" t="str">
        <f t="shared" ca="1" si="12"/>
        <v/>
      </c>
      <c r="K101" s="63"/>
      <c r="L101" s="63"/>
      <c r="M101" s="55">
        <v>52</v>
      </c>
      <c r="P101" s="313" t="str">
        <f t="shared" ca="1" si="11"/>
        <v/>
      </c>
      <c r="AH101" s="137"/>
      <c r="AM101" s="55"/>
      <c r="AO101" s="55"/>
      <c r="AQ101" s="55"/>
      <c r="BS101" s="137"/>
    </row>
    <row r="102" spans="1:71" x14ac:dyDescent="0.25">
      <c r="A102" s="924" t="str">
        <f t="shared" ca="1" si="13"/>
        <v/>
      </c>
      <c r="B102" s="924"/>
      <c r="C102" s="924"/>
      <c r="D102" s="924"/>
      <c r="E102" s="924"/>
      <c r="F102" s="924"/>
      <c r="G102" s="924"/>
      <c r="H102" s="587" t="str">
        <f t="shared" ca="1" si="14"/>
        <v/>
      </c>
      <c r="I102" s="454" t="str">
        <f t="shared" ca="1" si="12"/>
        <v/>
      </c>
      <c r="J102" s="454" t="str">
        <f t="shared" ca="1" si="12"/>
        <v/>
      </c>
      <c r="K102" s="63"/>
      <c r="L102" s="63"/>
      <c r="M102" s="55">
        <v>53</v>
      </c>
      <c r="P102" s="313" t="str">
        <f t="shared" ca="1" si="11"/>
        <v/>
      </c>
      <c r="AH102" s="137"/>
      <c r="AM102" s="55"/>
      <c r="AO102" s="55"/>
      <c r="AQ102" s="55"/>
      <c r="BS102" s="137"/>
    </row>
    <row r="103" spans="1:71" x14ac:dyDescent="0.25">
      <c r="A103" s="924" t="str">
        <f t="shared" ca="1" si="13"/>
        <v/>
      </c>
      <c r="B103" s="924"/>
      <c r="C103" s="924"/>
      <c r="D103" s="924"/>
      <c r="E103" s="924"/>
      <c r="F103" s="924"/>
      <c r="G103" s="924"/>
      <c r="H103" s="587" t="str">
        <f t="shared" ca="1" si="14"/>
        <v/>
      </c>
      <c r="I103" s="454" t="str">
        <f t="shared" ca="1" si="12"/>
        <v/>
      </c>
      <c r="J103" s="454" t="str">
        <f t="shared" ca="1" si="12"/>
        <v/>
      </c>
      <c r="K103" s="63"/>
      <c r="L103" s="63"/>
      <c r="M103" s="55">
        <v>54</v>
      </c>
      <c r="P103" s="313" t="str">
        <f t="shared" ca="1" si="11"/>
        <v/>
      </c>
    </row>
    <row r="104" spans="1:71" x14ac:dyDescent="0.25">
      <c r="A104" s="924" t="str">
        <f t="shared" ca="1" si="13"/>
        <v/>
      </c>
      <c r="B104" s="924"/>
      <c r="C104" s="924"/>
      <c r="D104" s="924"/>
      <c r="E104" s="924"/>
      <c r="F104" s="924"/>
      <c r="G104" s="924"/>
      <c r="H104" s="587" t="str">
        <f t="shared" ca="1" si="14"/>
        <v/>
      </c>
      <c r="I104" s="454" t="str">
        <f t="shared" ref="I104:J123" ca="1" si="15">IF(ISERROR(INDEX(H$359:H$457,VLOOKUP(ROW(H104)-ROW(H$49),$J$359:$K$457,2,0),0)),"",INDEX(H$359:H$457,VLOOKUP(ROW(H104)-ROW(H$49),$J$359:$K$457,2,0),0))</f>
        <v/>
      </c>
      <c r="J104" s="454" t="str">
        <f t="shared" ca="1" si="15"/>
        <v/>
      </c>
      <c r="K104" s="63"/>
      <c r="L104" s="63"/>
      <c r="M104" s="55">
        <v>55</v>
      </c>
      <c r="P104" s="313" t="str">
        <f t="shared" ca="1" si="11"/>
        <v/>
      </c>
    </row>
    <row r="105" spans="1:71" x14ac:dyDescent="0.25">
      <c r="A105" s="924" t="str">
        <f t="shared" ca="1" si="13"/>
        <v/>
      </c>
      <c r="B105" s="924"/>
      <c r="C105" s="924"/>
      <c r="D105" s="924"/>
      <c r="E105" s="924"/>
      <c r="F105" s="924"/>
      <c r="G105" s="924"/>
      <c r="H105" s="587" t="str">
        <f t="shared" ca="1" si="14"/>
        <v/>
      </c>
      <c r="I105" s="454" t="str">
        <f t="shared" ca="1" si="15"/>
        <v/>
      </c>
      <c r="J105" s="454" t="str">
        <f t="shared" ca="1" si="15"/>
        <v/>
      </c>
      <c r="K105" s="63"/>
      <c r="L105" s="63"/>
      <c r="M105" s="55">
        <v>56</v>
      </c>
      <c r="P105" s="313" t="str">
        <f t="shared" ca="1" si="11"/>
        <v/>
      </c>
    </row>
    <row r="106" spans="1:71" x14ac:dyDescent="0.25">
      <c r="A106" s="924" t="str">
        <f t="shared" ca="1" si="13"/>
        <v/>
      </c>
      <c r="B106" s="924"/>
      <c r="C106" s="924"/>
      <c r="D106" s="924"/>
      <c r="E106" s="924"/>
      <c r="F106" s="924"/>
      <c r="G106" s="924"/>
      <c r="H106" s="587" t="str">
        <f t="shared" ca="1" si="14"/>
        <v/>
      </c>
      <c r="I106" s="454" t="str">
        <f t="shared" ca="1" si="15"/>
        <v/>
      </c>
      <c r="J106" s="454" t="str">
        <f t="shared" ca="1" si="15"/>
        <v/>
      </c>
      <c r="K106" s="63"/>
      <c r="L106" s="63"/>
      <c r="M106" s="55">
        <v>57</v>
      </c>
      <c r="P106" s="313" t="str">
        <f t="shared" ca="1" si="11"/>
        <v/>
      </c>
    </row>
    <row r="107" spans="1:71" x14ac:dyDescent="0.25">
      <c r="A107" s="924" t="str">
        <f t="shared" ca="1" si="13"/>
        <v/>
      </c>
      <c r="B107" s="924"/>
      <c r="C107" s="924"/>
      <c r="D107" s="924"/>
      <c r="E107" s="924"/>
      <c r="F107" s="924"/>
      <c r="G107" s="924"/>
      <c r="H107" s="587" t="str">
        <f t="shared" ca="1" si="14"/>
        <v/>
      </c>
      <c r="I107" s="454" t="str">
        <f t="shared" ca="1" si="15"/>
        <v/>
      </c>
      <c r="J107" s="454" t="str">
        <f t="shared" ca="1" si="15"/>
        <v/>
      </c>
      <c r="K107" s="63"/>
      <c r="L107" s="63"/>
      <c r="M107" s="55">
        <v>58</v>
      </c>
      <c r="P107" s="313" t="str">
        <f t="shared" ca="1" si="11"/>
        <v/>
      </c>
    </row>
    <row r="108" spans="1:71" x14ac:dyDescent="0.25">
      <c r="A108" s="924" t="str">
        <f t="shared" ca="1" si="13"/>
        <v/>
      </c>
      <c r="B108" s="924"/>
      <c r="C108" s="924"/>
      <c r="D108" s="924"/>
      <c r="E108" s="924"/>
      <c r="F108" s="924"/>
      <c r="G108" s="924"/>
      <c r="H108" s="587" t="str">
        <f t="shared" ca="1" si="14"/>
        <v/>
      </c>
      <c r="I108" s="454" t="str">
        <f t="shared" ca="1" si="15"/>
        <v/>
      </c>
      <c r="J108" s="454" t="str">
        <f t="shared" ca="1" si="15"/>
        <v/>
      </c>
      <c r="K108" s="63"/>
      <c r="L108" s="63"/>
      <c r="M108" s="55">
        <v>59</v>
      </c>
      <c r="P108" s="313" t="str">
        <f t="shared" ca="1" si="11"/>
        <v/>
      </c>
    </row>
    <row r="109" spans="1:71" x14ac:dyDescent="0.25">
      <c r="A109" s="924" t="str">
        <f t="shared" ca="1" si="13"/>
        <v/>
      </c>
      <c r="B109" s="924"/>
      <c r="C109" s="924"/>
      <c r="D109" s="924"/>
      <c r="E109" s="924"/>
      <c r="F109" s="924"/>
      <c r="G109" s="924"/>
      <c r="H109" s="587" t="str">
        <f t="shared" ca="1" si="14"/>
        <v/>
      </c>
      <c r="I109" s="454" t="str">
        <f t="shared" ca="1" si="15"/>
        <v/>
      </c>
      <c r="J109" s="454" t="str">
        <f t="shared" ca="1" si="15"/>
        <v/>
      </c>
      <c r="K109" s="63"/>
      <c r="L109" s="63"/>
      <c r="M109" s="55">
        <v>60</v>
      </c>
      <c r="P109" s="313" t="str">
        <f t="shared" ca="1" si="11"/>
        <v/>
      </c>
    </row>
    <row r="110" spans="1:71" x14ac:dyDescent="0.25">
      <c r="A110" s="924" t="str">
        <f t="shared" ca="1" si="13"/>
        <v/>
      </c>
      <c r="B110" s="924"/>
      <c r="C110" s="924"/>
      <c r="D110" s="924"/>
      <c r="E110" s="924"/>
      <c r="F110" s="924"/>
      <c r="G110" s="924"/>
      <c r="H110" s="587" t="str">
        <f t="shared" ca="1" si="14"/>
        <v/>
      </c>
      <c r="I110" s="454" t="str">
        <f t="shared" ca="1" si="15"/>
        <v/>
      </c>
      <c r="J110" s="454" t="str">
        <f t="shared" ca="1" si="15"/>
        <v/>
      </c>
      <c r="K110" s="63"/>
      <c r="L110" s="63"/>
      <c r="M110" s="55">
        <v>61</v>
      </c>
      <c r="P110" s="313" t="str">
        <f t="shared" ca="1" si="11"/>
        <v/>
      </c>
    </row>
    <row r="111" spans="1:71" x14ac:dyDescent="0.25">
      <c r="A111" s="924" t="str">
        <f t="shared" ca="1" si="13"/>
        <v/>
      </c>
      <c r="B111" s="924"/>
      <c r="C111" s="924"/>
      <c r="D111" s="924"/>
      <c r="E111" s="924"/>
      <c r="F111" s="924"/>
      <c r="G111" s="924"/>
      <c r="H111" s="587" t="str">
        <f t="shared" ca="1" si="14"/>
        <v/>
      </c>
      <c r="I111" s="454" t="str">
        <f t="shared" ca="1" si="15"/>
        <v/>
      </c>
      <c r="J111" s="454" t="str">
        <f t="shared" ca="1" si="15"/>
        <v/>
      </c>
      <c r="K111" s="63"/>
      <c r="L111" s="63"/>
      <c r="M111" s="55">
        <v>62</v>
      </c>
      <c r="P111" s="313" t="str">
        <f t="shared" ca="1" si="11"/>
        <v/>
      </c>
    </row>
    <row r="112" spans="1:71" x14ac:dyDescent="0.25">
      <c r="A112" s="924" t="str">
        <f t="shared" ca="1" si="13"/>
        <v/>
      </c>
      <c r="B112" s="924"/>
      <c r="C112" s="924"/>
      <c r="D112" s="924"/>
      <c r="E112" s="924"/>
      <c r="F112" s="924"/>
      <c r="G112" s="924"/>
      <c r="H112" s="587" t="str">
        <f t="shared" ca="1" si="14"/>
        <v/>
      </c>
      <c r="I112" s="454" t="str">
        <f t="shared" ca="1" si="15"/>
        <v/>
      </c>
      <c r="J112" s="454" t="str">
        <f t="shared" ca="1" si="15"/>
        <v/>
      </c>
      <c r="K112" s="63"/>
      <c r="L112" s="63"/>
      <c r="M112" s="55">
        <v>63</v>
      </c>
      <c r="P112" s="313" t="str">
        <f t="shared" ca="1" si="11"/>
        <v/>
      </c>
    </row>
    <row r="113" spans="1:16" x14ac:dyDescent="0.25">
      <c r="A113" s="924" t="str">
        <f t="shared" ca="1" si="13"/>
        <v/>
      </c>
      <c r="B113" s="924"/>
      <c r="C113" s="924"/>
      <c r="D113" s="924"/>
      <c r="E113" s="924"/>
      <c r="F113" s="924"/>
      <c r="G113" s="924"/>
      <c r="H113" s="587" t="str">
        <f t="shared" ca="1" si="14"/>
        <v/>
      </c>
      <c r="I113" s="454" t="str">
        <f t="shared" ca="1" si="15"/>
        <v/>
      </c>
      <c r="J113" s="454" t="str">
        <f t="shared" ca="1" si="15"/>
        <v/>
      </c>
      <c r="K113" s="63"/>
      <c r="L113" s="63"/>
      <c r="M113" s="55">
        <v>64</v>
      </c>
      <c r="P113" s="313" t="str">
        <f t="shared" ca="1" si="11"/>
        <v/>
      </c>
    </row>
    <row r="114" spans="1:16" x14ac:dyDescent="0.25">
      <c r="A114" s="924" t="str">
        <f t="shared" ca="1" si="13"/>
        <v/>
      </c>
      <c r="B114" s="924"/>
      <c r="C114" s="924"/>
      <c r="D114" s="924"/>
      <c r="E114" s="924"/>
      <c r="F114" s="924"/>
      <c r="G114" s="924"/>
      <c r="H114" s="587" t="str">
        <f t="shared" ca="1" si="14"/>
        <v/>
      </c>
      <c r="I114" s="454" t="str">
        <f t="shared" ca="1" si="15"/>
        <v/>
      </c>
      <c r="J114" s="454" t="str">
        <f t="shared" ca="1" si="15"/>
        <v/>
      </c>
      <c r="K114" s="63"/>
      <c r="L114" s="63"/>
      <c r="M114" s="55">
        <v>65</v>
      </c>
      <c r="P114" s="313" t="str">
        <f t="shared" ref="P114:P144" ca="1" si="16">IF(ISERROR(INDEX(L$359:L$457,VLOOKUP(ROW(P114)-ROW(P$49),$J$359:$K$457,2,0),0)),"",INDEX(L$359:L$457,VLOOKUP(ROW(P114)-ROW(P$49),$J$359:$K$457,2,0),0))</f>
        <v/>
      </c>
    </row>
    <row r="115" spans="1:16" x14ac:dyDescent="0.25">
      <c r="A115" s="924" t="str">
        <f t="shared" ca="1" si="13"/>
        <v/>
      </c>
      <c r="B115" s="924"/>
      <c r="C115" s="924"/>
      <c r="D115" s="924"/>
      <c r="E115" s="924"/>
      <c r="F115" s="924"/>
      <c r="G115" s="924"/>
      <c r="H115" s="587" t="str">
        <f t="shared" ca="1" si="14"/>
        <v/>
      </c>
      <c r="I115" s="454" t="str">
        <f t="shared" ca="1" si="15"/>
        <v/>
      </c>
      <c r="J115" s="454" t="str">
        <f t="shared" ca="1" si="15"/>
        <v/>
      </c>
      <c r="K115" s="63"/>
      <c r="L115" s="63"/>
      <c r="M115" s="55">
        <v>66</v>
      </c>
      <c r="P115" s="313" t="str">
        <f t="shared" ca="1" si="16"/>
        <v/>
      </c>
    </row>
    <row r="116" spans="1:16" x14ac:dyDescent="0.25">
      <c r="A116" s="924" t="str">
        <f t="shared" ca="1" si="13"/>
        <v/>
      </c>
      <c r="B116" s="924"/>
      <c r="C116" s="924"/>
      <c r="D116" s="924"/>
      <c r="E116" s="924"/>
      <c r="F116" s="924"/>
      <c r="G116" s="924"/>
      <c r="H116" s="587" t="str">
        <f t="shared" ca="1" si="14"/>
        <v/>
      </c>
      <c r="I116" s="454" t="str">
        <f t="shared" ca="1" si="15"/>
        <v/>
      </c>
      <c r="J116" s="454" t="str">
        <f t="shared" ca="1" si="15"/>
        <v/>
      </c>
      <c r="K116" s="63"/>
      <c r="L116" s="63"/>
      <c r="M116" s="55">
        <v>67</v>
      </c>
      <c r="P116" s="313" t="str">
        <f t="shared" ca="1" si="16"/>
        <v/>
      </c>
    </row>
    <row r="117" spans="1:16" x14ac:dyDescent="0.25">
      <c r="A117" s="924" t="str">
        <f t="shared" ca="1" si="13"/>
        <v/>
      </c>
      <c r="B117" s="924"/>
      <c r="C117" s="924"/>
      <c r="D117" s="924"/>
      <c r="E117" s="924"/>
      <c r="F117" s="924"/>
      <c r="G117" s="924"/>
      <c r="H117" s="587" t="str">
        <f t="shared" ca="1" si="14"/>
        <v/>
      </c>
      <c r="I117" s="454" t="str">
        <f t="shared" ca="1" si="15"/>
        <v/>
      </c>
      <c r="J117" s="454" t="str">
        <f t="shared" ca="1" si="15"/>
        <v/>
      </c>
      <c r="K117" s="63"/>
      <c r="L117" s="63"/>
      <c r="M117" s="55">
        <v>68</v>
      </c>
      <c r="P117" s="313" t="str">
        <f t="shared" ca="1" si="16"/>
        <v/>
      </c>
    </row>
    <row r="118" spans="1:16" x14ac:dyDescent="0.25">
      <c r="A118" s="924" t="str">
        <f t="shared" ca="1" si="13"/>
        <v/>
      </c>
      <c r="B118" s="924"/>
      <c r="C118" s="924"/>
      <c r="D118" s="924"/>
      <c r="E118" s="924"/>
      <c r="F118" s="924"/>
      <c r="G118" s="924"/>
      <c r="H118" s="587" t="str">
        <f t="shared" ca="1" si="14"/>
        <v/>
      </c>
      <c r="I118" s="454" t="str">
        <f t="shared" ca="1" si="15"/>
        <v/>
      </c>
      <c r="J118" s="454" t="str">
        <f t="shared" ca="1" si="15"/>
        <v/>
      </c>
      <c r="K118" s="63"/>
      <c r="L118" s="63"/>
      <c r="M118" s="55">
        <v>69</v>
      </c>
      <c r="P118" s="313" t="str">
        <f t="shared" ca="1" si="16"/>
        <v/>
      </c>
    </row>
    <row r="119" spans="1:16" x14ac:dyDescent="0.25">
      <c r="A119" s="924" t="str">
        <f t="shared" ca="1" si="13"/>
        <v/>
      </c>
      <c r="B119" s="924"/>
      <c r="C119" s="924"/>
      <c r="D119" s="924"/>
      <c r="E119" s="924"/>
      <c r="F119" s="924"/>
      <c r="G119" s="924"/>
      <c r="H119" s="587" t="str">
        <f t="shared" ca="1" si="14"/>
        <v/>
      </c>
      <c r="I119" s="454" t="str">
        <f t="shared" ca="1" si="15"/>
        <v/>
      </c>
      <c r="J119" s="454" t="str">
        <f t="shared" ca="1" si="15"/>
        <v/>
      </c>
      <c r="K119" s="63"/>
      <c r="L119" s="63"/>
      <c r="M119" s="55">
        <v>70</v>
      </c>
      <c r="P119" s="313" t="str">
        <f t="shared" ca="1" si="16"/>
        <v/>
      </c>
    </row>
    <row r="120" spans="1:16" x14ac:dyDescent="0.25">
      <c r="A120" s="924" t="str">
        <f t="shared" ca="1" si="13"/>
        <v/>
      </c>
      <c r="B120" s="924"/>
      <c r="C120" s="924"/>
      <c r="D120" s="924"/>
      <c r="E120" s="924"/>
      <c r="F120" s="924"/>
      <c r="G120" s="924"/>
      <c r="H120" s="587" t="str">
        <f t="shared" ca="1" si="14"/>
        <v/>
      </c>
      <c r="I120" s="454" t="str">
        <f t="shared" ca="1" si="15"/>
        <v/>
      </c>
      <c r="J120" s="454" t="str">
        <f t="shared" ca="1" si="15"/>
        <v/>
      </c>
      <c r="K120" s="63"/>
      <c r="L120" s="63"/>
      <c r="M120" s="55">
        <v>71</v>
      </c>
      <c r="P120" s="313" t="str">
        <f t="shared" ca="1" si="16"/>
        <v/>
      </c>
    </row>
    <row r="121" spans="1:16" x14ac:dyDescent="0.25">
      <c r="A121" s="924" t="str">
        <f t="shared" ca="1" si="13"/>
        <v/>
      </c>
      <c r="B121" s="924"/>
      <c r="C121" s="924"/>
      <c r="D121" s="924"/>
      <c r="E121" s="924"/>
      <c r="F121" s="924"/>
      <c r="G121" s="924"/>
      <c r="H121" s="587" t="str">
        <f t="shared" ca="1" si="14"/>
        <v/>
      </c>
      <c r="I121" s="454" t="str">
        <f t="shared" ca="1" si="15"/>
        <v/>
      </c>
      <c r="J121" s="454" t="str">
        <f t="shared" ca="1" si="15"/>
        <v/>
      </c>
      <c r="K121" s="63"/>
      <c r="L121" s="63"/>
      <c r="M121" s="55">
        <v>72</v>
      </c>
      <c r="P121" s="313" t="str">
        <f t="shared" ca="1" si="16"/>
        <v/>
      </c>
    </row>
    <row r="122" spans="1:16" x14ac:dyDescent="0.25">
      <c r="A122" s="924" t="str">
        <f t="shared" ca="1" si="13"/>
        <v/>
      </c>
      <c r="B122" s="924"/>
      <c r="C122" s="924"/>
      <c r="D122" s="924"/>
      <c r="E122" s="924"/>
      <c r="F122" s="924"/>
      <c r="G122" s="924"/>
      <c r="H122" s="587" t="str">
        <f t="shared" ca="1" si="14"/>
        <v/>
      </c>
      <c r="I122" s="454" t="str">
        <f t="shared" ca="1" si="15"/>
        <v/>
      </c>
      <c r="J122" s="454" t="str">
        <f t="shared" ca="1" si="15"/>
        <v/>
      </c>
      <c r="K122" s="63"/>
      <c r="L122" s="63"/>
      <c r="M122" s="55">
        <v>73</v>
      </c>
      <c r="P122" s="313" t="str">
        <f t="shared" ca="1" si="16"/>
        <v/>
      </c>
    </row>
    <row r="123" spans="1:16" x14ac:dyDescent="0.25">
      <c r="A123" s="924" t="str">
        <f t="shared" ca="1" si="13"/>
        <v/>
      </c>
      <c r="B123" s="924"/>
      <c r="C123" s="924"/>
      <c r="D123" s="924"/>
      <c r="E123" s="924"/>
      <c r="F123" s="924"/>
      <c r="G123" s="924"/>
      <c r="H123" s="587" t="str">
        <f t="shared" ca="1" si="14"/>
        <v/>
      </c>
      <c r="I123" s="454" t="str">
        <f t="shared" ca="1" si="15"/>
        <v/>
      </c>
      <c r="J123" s="454" t="str">
        <f t="shared" ca="1" si="15"/>
        <v/>
      </c>
      <c r="K123" s="63"/>
      <c r="L123" s="63"/>
      <c r="M123" s="55">
        <v>74</v>
      </c>
      <c r="P123" s="313" t="str">
        <f t="shared" ca="1" si="16"/>
        <v/>
      </c>
    </row>
    <row r="124" spans="1:16" x14ac:dyDescent="0.25">
      <c r="A124" s="924" t="str">
        <f t="shared" ca="1" si="13"/>
        <v/>
      </c>
      <c r="B124" s="924"/>
      <c r="C124" s="924"/>
      <c r="D124" s="924"/>
      <c r="E124" s="924"/>
      <c r="F124" s="924"/>
      <c r="G124" s="924"/>
      <c r="H124" s="587" t="str">
        <f t="shared" ca="1" si="14"/>
        <v/>
      </c>
      <c r="I124" s="454" t="str">
        <f t="shared" ref="I124:J143" ca="1" si="17">IF(ISERROR(INDEX(H$359:H$457,VLOOKUP(ROW(H124)-ROW(H$49),$J$359:$K$457,2,0),0)),"",INDEX(H$359:H$457,VLOOKUP(ROW(H124)-ROW(H$49),$J$359:$K$457,2,0),0))</f>
        <v/>
      </c>
      <c r="J124" s="454" t="str">
        <f t="shared" ca="1" si="17"/>
        <v/>
      </c>
      <c r="K124" s="63"/>
      <c r="L124" s="63"/>
      <c r="M124" s="55">
        <v>75</v>
      </c>
      <c r="P124" s="313" t="str">
        <f t="shared" ca="1" si="16"/>
        <v/>
      </c>
    </row>
    <row r="125" spans="1:16" x14ac:dyDescent="0.25">
      <c r="A125" s="924" t="str">
        <f t="shared" ref="A125:A144" ca="1" si="18">IF(ISERROR(INDEX(A$359:A$457,VLOOKUP(ROW(A125)-ROW(A$49),$J$359:$K$457,2,0),0)),"",INDEX(A$359:A$457,VLOOKUP(ROW(A125)-ROW(A$49),$J$359:$K$457,2,0),0))</f>
        <v/>
      </c>
      <c r="B125" s="924"/>
      <c r="C125" s="924"/>
      <c r="D125" s="924"/>
      <c r="E125" s="924"/>
      <c r="F125" s="924"/>
      <c r="G125" s="924"/>
      <c r="H125" s="587" t="str">
        <f t="shared" ca="1" si="14"/>
        <v/>
      </c>
      <c r="I125" s="454" t="str">
        <f t="shared" ca="1" si="17"/>
        <v/>
      </c>
      <c r="J125" s="454" t="str">
        <f t="shared" ca="1" si="17"/>
        <v/>
      </c>
      <c r="K125" s="63"/>
      <c r="L125" s="63"/>
      <c r="M125" s="55">
        <v>76</v>
      </c>
      <c r="P125" s="313" t="str">
        <f t="shared" ca="1" si="16"/>
        <v/>
      </c>
    </row>
    <row r="126" spans="1:16" x14ac:dyDescent="0.25">
      <c r="A126" s="924" t="str">
        <f t="shared" ca="1" si="18"/>
        <v/>
      </c>
      <c r="B126" s="924"/>
      <c r="C126" s="924"/>
      <c r="D126" s="924"/>
      <c r="E126" s="924"/>
      <c r="F126" s="924"/>
      <c r="G126" s="924"/>
      <c r="H126" s="587" t="str">
        <f t="shared" ca="1" si="14"/>
        <v/>
      </c>
      <c r="I126" s="454" t="str">
        <f t="shared" ca="1" si="17"/>
        <v/>
      </c>
      <c r="J126" s="454" t="str">
        <f t="shared" ca="1" si="17"/>
        <v/>
      </c>
      <c r="K126" s="63"/>
      <c r="L126" s="63"/>
      <c r="M126" s="55">
        <v>77</v>
      </c>
      <c r="P126" s="313" t="str">
        <f t="shared" ca="1" si="16"/>
        <v/>
      </c>
    </row>
    <row r="127" spans="1:16" x14ac:dyDescent="0.25">
      <c r="A127" s="924" t="str">
        <f t="shared" ca="1" si="18"/>
        <v/>
      </c>
      <c r="B127" s="924"/>
      <c r="C127" s="924"/>
      <c r="D127" s="924"/>
      <c r="E127" s="924"/>
      <c r="F127" s="924"/>
      <c r="G127" s="924"/>
      <c r="H127" s="587" t="str">
        <f t="shared" ca="1" si="14"/>
        <v/>
      </c>
      <c r="I127" s="454" t="str">
        <f t="shared" ca="1" si="17"/>
        <v/>
      </c>
      <c r="J127" s="454" t="str">
        <f t="shared" ca="1" si="17"/>
        <v/>
      </c>
      <c r="K127" s="63"/>
      <c r="L127" s="63"/>
      <c r="M127" s="55">
        <v>78</v>
      </c>
      <c r="P127" s="313" t="str">
        <f t="shared" ca="1" si="16"/>
        <v/>
      </c>
    </row>
    <row r="128" spans="1:16" x14ac:dyDescent="0.25">
      <c r="A128" s="924" t="str">
        <f t="shared" ca="1" si="18"/>
        <v/>
      </c>
      <c r="B128" s="924"/>
      <c r="C128" s="924"/>
      <c r="D128" s="924"/>
      <c r="E128" s="924"/>
      <c r="F128" s="924"/>
      <c r="G128" s="924"/>
      <c r="H128" s="587" t="str">
        <f t="shared" ref="H128:H144" ca="1" si="19">IF(ISERROR(INDEX(G$359:G$457,VLOOKUP(ROW(G128)-ROW(G$49),$J$359:$K$457,2,0),0)),"",IF(INDEX(G$359:G$457,VLOOKUP(ROW(G128)-ROW(G$49),$J$359:$K$457,2,0),0)=0,"",INDEX(G$359:G$457,VLOOKUP(ROW(G128)-ROW(G$49),$J$359:$K$457,2,0),0)))</f>
        <v/>
      </c>
      <c r="I128" s="454" t="str">
        <f t="shared" ca="1" si="17"/>
        <v/>
      </c>
      <c r="J128" s="454" t="str">
        <f t="shared" ca="1" si="17"/>
        <v/>
      </c>
      <c r="K128" s="63"/>
      <c r="L128" s="63"/>
      <c r="M128" s="55">
        <v>79</v>
      </c>
      <c r="P128" s="313" t="str">
        <f t="shared" ca="1" si="16"/>
        <v/>
      </c>
    </row>
    <row r="129" spans="1:16" x14ac:dyDescent="0.25">
      <c r="A129" s="924" t="str">
        <f t="shared" ca="1" si="18"/>
        <v/>
      </c>
      <c r="B129" s="924"/>
      <c r="C129" s="924"/>
      <c r="D129" s="924"/>
      <c r="E129" s="924"/>
      <c r="F129" s="924"/>
      <c r="G129" s="924"/>
      <c r="H129" s="587" t="str">
        <f t="shared" ca="1" si="19"/>
        <v/>
      </c>
      <c r="I129" s="454" t="str">
        <f t="shared" ca="1" si="17"/>
        <v/>
      </c>
      <c r="J129" s="454" t="str">
        <f t="shared" ca="1" si="17"/>
        <v/>
      </c>
      <c r="K129" s="63"/>
      <c r="L129" s="63"/>
      <c r="M129" s="55">
        <v>80</v>
      </c>
      <c r="P129" s="313" t="str">
        <f t="shared" ca="1" si="16"/>
        <v/>
      </c>
    </row>
    <row r="130" spans="1:16" x14ac:dyDescent="0.25">
      <c r="A130" s="924" t="str">
        <f t="shared" ca="1" si="18"/>
        <v/>
      </c>
      <c r="B130" s="924"/>
      <c r="C130" s="924"/>
      <c r="D130" s="924"/>
      <c r="E130" s="924"/>
      <c r="F130" s="924"/>
      <c r="G130" s="924"/>
      <c r="H130" s="587" t="str">
        <f t="shared" ca="1" si="19"/>
        <v/>
      </c>
      <c r="I130" s="454" t="str">
        <f t="shared" ca="1" si="17"/>
        <v/>
      </c>
      <c r="J130" s="454" t="str">
        <f t="shared" ca="1" si="17"/>
        <v/>
      </c>
      <c r="K130" s="63"/>
      <c r="L130" s="63"/>
      <c r="M130" s="55">
        <v>81</v>
      </c>
      <c r="P130" s="313" t="str">
        <f t="shared" ca="1" si="16"/>
        <v/>
      </c>
    </row>
    <row r="131" spans="1:16" x14ac:dyDescent="0.25">
      <c r="A131" s="924" t="str">
        <f t="shared" ca="1" si="18"/>
        <v/>
      </c>
      <c r="B131" s="924"/>
      <c r="C131" s="924"/>
      <c r="D131" s="924"/>
      <c r="E131" s="924"/>
      <c r="F131" s="924"/>
      <c r="G131" s="924"/>
      <c r="H131" s="587" t="str">
        <f t="shared" ca="1" si="19"/>
        <v/>
      </c>
      <c r="I131" s="454" t="str">
        <f t="shared" ca="1" si="17"/>
        <v/>
      </c>
      <c r="J131" s="454" t="str">
        <f t="shared" ca="1" si="17"/>
        <v/>
      </c>
      <c r="K131" s="63"/>
      <c r="L131" s="63"/>
      <c r="M131" s="55">
        <v>82</v>
      </c>
      <c r="P131" s="313" t="str">
        <f t="shared" ca="1" si="16"/>
        <v/>
      </c>
    </row>
    <row r="132" spans="1:16" x14ac:dyDescent="0.25">
      <c r="A132" s="924" t="str">
        <f t="shared" ca="1" si="18"/>
        <v/>
      </c>
      <c r="B132" s="924"/>
      <c r="C132" s="924"/>
      <c r="D132" s="924"/>
      <c r="E132" s="924"/>
      <c r="F132" s="924"/>
      <c r="G132" s="924"/>
      <c r="H132" s="587" t="str">
        <f t="shared" ca="1" si="19"/>
        <v/>
      </c>
      <c r="I132" s="454" t="str">
        <f t="shared" ca="1" si="17"/>
        <v/>
      </c>
      <c r="J132" s="454" t="str">
        <f t="shared" ca="1" si="17"/>
        <v/>
      </c>
      <c r="K132" s="63"/>
      <c r="L132" s="63"/>
      <c r="M132" s="55">
        <v>83</v>
      </c>
      <c r="P132" s="313" t="str">
        <f t="shared" ca="1" si="16"/>
        <v/>
      </c>
    </row>
    <row r="133" spans="1:16" x14ac:dyDescent="0.25">
      <c r="A133" s="924" t="str">
        <f t="shared" ca="1" si="18"/>
        <v/>
      </c>
      <c r="B133" s="924"/>
      <c r="C133" s="924"/>
      <c r="D133" s="924"/>
      <c r="E133" s="924"/>
      <c r="F133" s="924"/>
      <c r="G133" s="924"/>
      <c r="H133" s="587" t="str">
        <f t="shared" ca="1" si="19"/>
        <v/>
      </c>
      <c r="I133" s="454" t="str">
        <f t="shared" ca="1" si="17"/>
        <v/>
      </c>
      <c r="J133" s="454" t="str">
        <f t="shared" ca="1" si="17"/>
        <v/>
      </c>
      <c r="K133" s="63"/>
      <c r="L133" s="63"/>
      <c r="M133" s="55">
        <v>84</v>
      </c>
      <c r="P133" s="313" t="str">
        <f t="shared" ca="1" si="16"/>
        <v/>
      </c>
    </row>
    <row r="134" spans="1:16" x14ac:dyDescent="0.25">
      <c r="A134" s="924" t="str">
        <f t="shared" ca="1" si="18"/>
        <v/>
      </c>
      <c r="B134" s="924"/>
      <c r="C134" s="924"/>
      <c r="D134" s="924"/>
      <c r="E134" s="924"/>
      <c r="F134" s="924"/>
      <c r="G134" s="924"/>
      <c r="H134" s="587" t="str">
        <f t="shared" ca="1" si="19"/>
        <v/>
      </c>
      <c r="I134" s="454" t="str">
        <f t="shared" ca="1" si="17"/>
        <v/>
      </c>
      <c r="J134" s="454" t="str">
        <f t="shared" ca="1" si="17"/>
        <v/>
      </c>
      <c r="K134" s="63"/>
      <c r="L134" s="63"/>
      <c r="M134" s="55">
        <v>85</v>
      </c>
      <c r="P134" s="313" t="str">
        <f t="shared" ca="1" si="16"/>
        <v/>
      </c>
    </row>
    <row r="135" spans="1:16" x14ac:dyDescent="0.25">
      <c r="A135" s="924" t="str">
        <f t="shared" ca="1" si="18"/>
        <v/>
      </c>
      <c r="B135" s="924"/>
      <c r="C135" s="924"/>
      <c r="D135" s="924"/>
      <c r="E135" s="924"/>
      <c r="F135" s="924"/>
      <c r="G135" s="924"/>
      <c r="H135" s="587" t="str">
        <f t="shared" ca="1" si="19"/>
        <v/>
      </c>
      <c r="I135" s="454" t="str">
        <f t="shared" ca="1" si="17"/>
        <v/>
      </c>
      <c r="J135" s="454" t="str">
        <f t="shared" ca="1" si="17"/>
        <v/>
      </c>
      <c r="K135" s="63"/>
      <c r="L135" s="63"/>
      <c r="M135" s="55">
        <v>86</v>
      </c>
      <c r="P135" s="313" t="str">
        <f t="shared" ca="1" si="16"/>
        <v/>
      </c>
    </row>
    <row r="136" spans="1:16" x14ac:dyDescent="0.25">
      <c r="A136" s="924" t="str">
        <f t="shared" ca="1" si="18"/>
        <v/>
      </c>
      <c r="B136" s="924"/>
      <c r="C136" s="924"/>
      <c r="D136" s="924"/>
      <c r="E136" s="924"/>
      <c r="F136" s="924"/>
      <c r="G136" s="924"/>
      <c r="H136" s="587" t="str">
        <f t="shared" ca="1" si="19"/>
        <v/>
      </c>
      <c r="I136" s="454" t="str">
        <f t="shared" ca="1" si="17"/>
        <v/>
      </c>
      <c r="J136" s="454" t="str">
        <f t="shared" ca="1" si="17"/>
        <v/>
      </c>
      <c r="K136" s="63"/>
      <c r="L136" s="63"/>
      <c r="M136" s="55">
        <v>87</v>
      </c>
      <c r="P136" s="313" t="str">
        <f t="shared" ca="1" si="16"/>
        <v/>
      </c>
    </row>
    <row r="137" spans="1:16" x14ac:dyDescent="0.25">
      <c r="A137" s="924" t="str">
        <f t="shared" ca="1" si="18"/>
        <v/>
      </c>
      <c r="B137" s="924"/>
      <c r="C137" s="924"/>
      <c r="D137" s="924"/>
      <c r="E137" s="924"/>
      <c r="F137" s="924"/>
      <c r="G137" s="924"/>
      <c r="H137" s="587" t="str">
        <f t="shared" ca="1" si="19"/>
        <v/>
      </c>
      <c r="I137" s="454" t="str">
        <f t="shared" ca="1" si="17"/>
        <v/>
      </c>
      <c r="J137" s="454" t="str">
        <f t="shared" ca="1" si="17"/>
        <v/>
      </c>
      <c r="K137" s="63"/>
      <c r="L137" s="63"/>
      <c r="M137" s="55">
        <v>88</v>
      </c>
      <c r="P137" s="313" t="str">
        <f t="shared" ca="1" si="16"/>
        <v/>
      </c>
    </row>
    <row r="138" spans="1:16" x14ac:dyDescent="0.25">
      <c r="A138" s="924" t="str">
        <f t="shared" ca="1" si="18"/>
        <v/>
      </c>
      <c r="B138" s="924"/>
      <c r="C138" s="924"/>
      <c r="D138" s="924"/>
      <c r="E138" s="924"/>
      <c r="F138" s="924"/>
      <c r="G138" s="924"/>
      <c r="H138" s="587" t="str">
        <f t="shared" ca="1" si="19"/>
        <v/>
      </c>
      <c r="I138" s="454" t="str">
        <f t="shared" ca="1" si="17"/>
        <v/>
      </c>
      <c r="J138" s="454" t="str">
        <f t="shared" ca="1" si="17"/>
        <v/>
      </c>
      <c r="K138" s="63"/>
      <c r="L138" s="63"/>
      <c r="M138" s="55">
        <v>89</v>
      </c>
      <c r="P138" s="313" t="str">
        <f t="shared" ca="1" si="16"/>
        <v/>
      </c>
    </row>
    <row r="139" spans="1:16" x14ac:dyDescent="0.25">
      <c r="A139" s="924" t="str">
        <f t="shared" ca="1" si="18"/>
        <v/>
      </c>
      <c r="B139" s="924"/>
      <c r="C139" s="924"/>
      <c r="D139" s="924"/>
      <c r="E139" s="924"/>
      <c r="F139" s="924"/>
      <c r="G139" s="924"/>
      <c r="H139" s="587" t="str">
        <f t="shared" ca="1" si="19"/>
        <v/>
      </c>
      <c r="I139" s="454" t="str">
        <f t="shared" ca="1" si="17"/>
        <v/>
      </c>
      <c r="J139" s="454" t="str">
        <f t="shared" ca="1" si="17"/>
        <v/>
      </c>
      <c r="K139" s="63"/>
      <c r="L139" s="63"/>
      <c r="M139" s="55">
        <v>90</v>
      </c>
      <c r="P139" s="313" t="str">
        <f t="shared" ca="1" si="16"/>
        <v/>
      </c>
    </row>
    <row r="140" spans="1:16" x14ac:dyDescent="0.25">
      <c r="A140" s="924" t="str">
        <f t="shared" ca="1" si="18"/>
        <v/>
      </c>
      <c r="B140" s="924"/>
      <c r="C140" s="924"/>
      <c r="D140" s="924"/>
      <c r="E140" s="924"/>
      <c r="F140" s="924"/>
      <c r="G140" s="924"/>
      <c r="H140" s="587" t="str">
        <f t="shared" ca="1" si="19"/>
        <v/>
      </c>
      <c r="I140" s="454" t="str">
        <f t="shared" ca="1" si="17"/>
        <v/>
      </c>
      <c r="J140" s="454" t="str">
        <f t="shared" ca="1" si="17"/>
        <v/>
      </c>
      <c r="M140" s="55">
        <v>91</v>
      </c>
      <c r="O140" s="369"/>
      <c r="P140" s="313" t="str">
        <f t="shared" ca="1" si="16"/>
        <v/>
      </c>
    </row>
    <row r="141" spans="1:16" x14ac:dyDescent="0.25">
      <c r="A141" s="924" t="str">
        <f t="shared" ca="1" si="18"/>
        <v/>
      </c>
      <c r="B141" s="924"/>
      <c r="C141" s="924"/>
      <c r="D141" s="924"/>
      <c r="E141" s="924"/>
      <c r="F141" s="924"/>
      <c r="G141" s="924"/>
      <c r="H141" s="587" t="str">
        <f t="shared" ca="1" si="19"/>
        <v/>
      </c>
      <c r="I141" s="454" t="str">
        <f t="shared" ca="1" si="17"/>
        <v/>
      </c>
      <c r="J141" s="454" t="str">
        <f t="shared" ca="1" si="17"/>
        <v/>
      </c>
      <c r="M141" s="55">
        <v>92</v>
      </c>
      <c r="O141" s="312"/>
      <c r="P141" s="313" t="str">
        <f t="shared" ca="1" si="16"/>
        <v/>
      </c>
    </row>
    <row r="142" spans="1:16" x14ac:dyDescent="0.25">
      <c r="A142" s="924" t="str">
        <f t="shared" ca="1" si="18"/>
        <v/>
      </c>
      <c r="B142" s="924"/>
      <c r="C142" s="924"/>
      <c r="D142" s="924"/>
      <c r="E142" s="924"/>
      <c r="F142" s="924"/>
      <c r="G142" s="924"/>
      <c r="H142" s="587" t="str">
        <f t="shared" ca="1" si="19"/>
        <v/>
      </c>
      <c r="I142" s="454" t="str">
        <f t="shared" ca="1" si="17"/>
        <v/>
      </c>
      <c r="J142" s="454" t="str">
        <f t="shared" ca="1" si="17"/>
        <v/>
      </c>
      <c r="M142" s="55">
        <v>93</v>
      </c>
      <c r="O142" s="455"/>
      <c r="P142" s="313" t="str">
        <f t="shared" ca="1" si="16"/>
        <v/>
      </c>
    </row>
    <row r="143" spans="1:16" x14ac:dyDescent="0.25">
      <c r="A143" s="924" t="str">
        <f t="shared" ca="1" si="18"/>
        <v/>
      </c>
      <c r="B143" s="924"/>
      <c r="C143" s="924"/>
      <c r="D143" s="924"/>
      <c r="E143" s="924"/>
      <c r="F143" s="924"/>
      <c r="G143" s="924"/>
      <c r="H143" s="587" t="str">
        <f t="shared" ca="1" si="19"/>
        <v/>
      </c>
      <c r="I143" s="454" t="str">
        <f t="shared" ca="1" si="17"/>
        <v/>
      </c>
      <c r="J143" s="454" t="str">
        <f t="shared" ca="1" si="17"/>
        <v/>
      </c>
      <c r="M143" s="55">
        <v>94</v>
      </c>
      <c r="O143" s="288"/>
      <c r="P143" s="313" t="str">
        <f t="shared" ca="1" si="16"/>
        <v/>
      </c>
    </row>
    <row r="144" spans="1:16" x14ac:dyDescent="0.25">
      <c r="A144" s="924" t="str">
        <f t="shared" ca="1" si="18"/>
        <v/>
      </c>
      <c r="B144" s="924"/>
      <c r="C144" s="924"/>
      <c r="D144" s="924"/>
      <c r="E144" s="924"/>
      <c r="F144" s="924"/>
      <c r="G144" s="924"/>
      <c r="H144" s="587" t="str">
        <f t="shared" ca="1" si="19"/>
        <v/>
      </c>
      <c r="I144" s="454" t="str">
        <f t="shared" ref="I144:J144" ca="1" si="20">IF(ISERROR(INDEX(H$359:H$457,VLOOKUP(ROW(H144)-ROW(H$49),$J$359:$K$457,2,0),0)),"",INDEX(H$359:H$457,VLOOKUP(ROW(H144)-ROW(H$49),$J$359:$K$457,2,0),0))</f>
        <v/>
      </c>
      <c r="J144" s="454" t="str">
        <f t="shared" ca="1" si="20"/>
        <v/>
      </c>
      <c r="M144" s="55">
        <v>95</v>
      </c>
      <c r="O144" s="288" t="s">
        <v>519</v>
      </c>
      <c r="P144" s="313" t="str">
        <f t="shared" ca="1" si="16"/>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1">1*NOT(AA146=0)</f>
        <v>1</v>
      </c>
      <c r="AA146" s="496" t="str">
        <f t="shared" ref="AA146:AA152" ca="1" si="22">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45323</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1"/>
        <v>1</v>
      </c>
      <c r="AA148" s="63" t="str">
        <f t="shared" ca="1" si="22"/>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1"/>
      <c r="C149" s="941"/>
      <c r="D149" s="941"/>
      <c r="E149" s="941"/>
      <c r="F149" s="941"/>
      <c r="G149" s="941"/>
      <c r="H149" s="941"/>
      <c r="I149" s="941"/>
      <c r="J149" s="941"/>
      <c r="O149" s="288">
        <f t="shared" ca="1" si="21"/>
        <v>1</v>
      </c>
      <c r="AA149" s="55" t="str">
        <f t="shared" ca="1" si="22"/>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1"/>
        <v>1</v>
      </c>
      <c r="AA150" s="55" t="str">
        <f t="shared" ca="1" si="22"/>
        <v>Position im Rechnungsformular:</v>
      </c>
      <c r="AC150" s="55" t="str">
        <f ca="1">INDIRECT(ADDRESS(ROW()+N_Offset_M,COLUMN(E150)+(N_SpracheAuswahl)*26,,,"Text"))</f>
        <v>für AB-IV / AB Kanton</v>
      </c>
      <c r="AJ150" s="292">
        <f t="shared" ref="AE150:AJ151" ca="1" si="23">INDIRECT(ADDRESS(ROW()+N_Offset_M,COLUMN(J150)+(N_SpracheAuswahl)*26,,,"Text"))</f>
        <v>0</v>
      </c>
      <c r="AK150" s="292"/>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4">AJ151</f>
        <v>LFP Stunden (OR 324)</v>
      </c>
      <c r="K151"/>
      <c r="O151" s="288">
        <f t="shared" ca="1" si="21"/>
        <v>1</v>
      </c>
      <c r="AA151" s="55" t="str">
        <f t="shared" ca="1" si="22"/>
        <v>Spaltenbezeichnung:</v>
      </c>
      <c r="AE151" s="292" t="str">
        <f t="shared" ca="1" si="23"/>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c r="AK151" s="292"/>
      <c r="AL151" s="292">
        <f t="shared" ref="AL151" ca="1" si="25">INDIRECT(ADDRESS(ROW()+N_Offset_M,COLUMN(L151)+(N_SpracheAuswahl)*26,,,"Text"))</f>
        <v>0</v>
      </c>
      <c r="AM151" s="292">
        <f ca="1">INDIRECT(ADDRESS(ROW()+N_Offset_M,COLUMN(M151)+(N_SpracheAuswahl)*26,,,"Text"))</f>
        <v>0</v>
      </c>
      <c r="AN151" s="292">
        <f ca="1">INDIRECT(ADDRESS(ROW()+N_Offset_M,COLUMN(N151)+(N_SpracheAuswahl)*26,,,"Text"))</f>
        <v>0</v>
      </c>
      <c r="AO151" s="292">
        <f ca="1">INDIRECT(ADDRESS(ROW()+N_Offset_M,COLUMN(O151)+(N_SpracheAuswahl)*26,,,"Text"))</f>
        <v>0</v>
      </c>
      <c r="AP151" s="292">
        <f ca="1">INDIRECT(ADDRESS(ROW()+N_Offset_M,COLUMN(P151)+(N_SpracheAuswahl)*26,,,"Text"))</f>
        <v>0</v>
      </c>
      <c r="AQ151" s="292">
        <f ca="1">INDIRECT(ADDRESS(ROW()+N_Offset_M,COLUMN(Q151)+(N_SpracheAuswahl)*26,,,"Text"))</f>
        <v>0</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7">
        <f ca="1">('  B  '!C28*E155)+DI295</f>
        <v>0</v>
      </c>
      <c r="J152" s="579">
        <f ca="1">SUMIF($AE$264:$AE$294,4,$I$264:$I$294)</f>
        <v>0</v>
      </c>
      <c r="K152"/>
      <c r="O152" s="288">
        <f t="shared" ca="1" si="21"/>
        <v>1</v>
      </c>
      <c r="AA152" s="55" t="str">
        <f t="shared" ca="1" si="22"/>
        <v>Werte:</v>
      </c>
    </row>
    <row r="153" spans="1:43" ht="25.2" customHeight="1" x14ac:dyDescent="0.25">
      <c r="F153" s="826" t="str">
        <f ca="1">(AF153)</f>
        <v>nur für AB Kanton</v>
      </c>
      <c r="J153" s="63"/>
      <c r="O153" s="288">
        <f t="shared" si="21"/>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6">IF($O154=0,"",AE154)</f>
        <v>LFP Nächte (OR 324)</v>
      </c>
      <c r="F154" s="819" t="str">
        <f t="shared" ca="1" si="26"/>
        <v>Nettolohn</v>
      </c>
      <c r="G154" s="371" t="str">
        <f t="shared" ca="1" si="26"/>
        <v>Sozial-beiträge</v>
      </c>
      <c r="H154" s="371" t="str">
        <f t="shared" ca="1" si="26"/>
        <v>Spesen</v>
      </c>
      <c r="I154" s="371" t="str">
        <f t="shared" ca="1" si="26"/>
        <v>Ferientage bezogen</v>
      </c>
      <c r="J154" s="371" t="str">
        <f t="shared" ca="1" si="26"/>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t="shared" ref="AF154:AK154" ca="1" si="27">INDIRECT(ADDRESS(ROW()+N_Offset_M,COLUMN(F154)+(N_SpracheAuswahl)*26,,,"Text"))</f>
        <v>Nettolohn</v>
      </c>
      <c r="AG154" s="55" t="str">
        <f t="shared" ca="1" si="27"/>
        <v>Sozial-beiträge</v>
      </c>
      <c r="AH154" s="55" t="str">
        <f t="shared" ca="1" si="27"/>
        <v>Spesen</v>
      </c>
      <c r="AI154" s="55" t="str">
        <f t="shared" ca="1" si="27"/>
        <v>Ferientage bezogen</v>
      </c>
      <c r="AJ154" s="55" t="str">
        <f t="shared" ca="1" si="27"/>
        <v>LFP CHF (OR 324a)</v>
      </c>
      <c r="AK154" s="55">
        <f t="shared" ca="1" si="27"/>
        <v>0</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8">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9">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8"/>
        <v>Lohnfortzahlung von</v>
      </c>
      <c r="B158" s="864"/>
      <c r="C158" s="864"/>
      <c r="D158" s="864"/>
      <c r="E158" s="865"/>
      <c r="F158" s="181">
        <f>IF(O158&gt;0,I214,"")</f>
        <v>0</v>
      </c>
      <c r="G158" s="180"/>
      <c r="H158" s="180"/>
      <c r="I158" s="180"/>
      <c r="J158" s="675"/>
      <c r="O158" s="288">
        <v>1</v>
      </c>
      <c r="AA158" s="55" t="str">
        <f t="shared" ca="1" si="29"/>
        <v>Lohnfortzahlung von</v>
      </c>
    </row>
    <row r="159" spans="1:43" ht="13.8" thickBot="1" x14ac:dyDescent="0.3">
      <c r="A159" s="864" t="str">
        <f t="shared" ca="1" si="28"/>
        <v>Lohnfortzahlung bis</v>
      </c>
      <c r="B159" s="864"/>
      <c r="C159" s="864"/>
      <c r="D159" s="864"/>
      <c r="E159" s="865"/>
      <c r="F159" s="181">
        <f ca="1">IF(O159&gt;0,IF(S216=$Y$260,IF(AND(I220&lt;I215,I220&gt;I214),I220-1,I215),IF(S216=$Z$260,MIN(I214+1,I215),I215)),"")</f>
        <v>0</v>
      </c>
      <c r="G159" s="180"/>
      <c r="H159" s="180"/>
      <c r="I159" s="180"/>
      <c r="O159" s="288">
        <v>1</v>
      </c>
      <c r="AA159" s="55" t="str">
        <f t="shared" ca="1" si="29"/>
        <v>Lohnfortzahlung bis</v>
      </c>
    </row>
    <row r="160" spans="1:43" ht="13.8" thickBot="1" x14ac:dyDescent="0.3">
      <c r="A160" s="864" t="str">
        <f t="shared" ca="1" si="28"/>
        <v xml:space="preserve">Lohnfortzahlung für </v>
      </c>
      <c r="B160" s="864"/>
      <c r="C160" s="864"/>
      <c r="D160" s="864"/>
      <c r="E160" s="865"/>
      <c r="F160" s="184" t="str">
        <f>IF(O160&gt;0,'  B  '!C35&amp;", "&amp;'  B  '!C34,"")</f>
        <v xml:space="preserve">, </v>
      </c>
      <c r="G160" s="180"/>
      <c r="H160" s="180"/>
      <c r="I160" s="180"/>
      <c r="O160" s="288">
        <v>1</v>
      </c>
      <c r="AA160" s="55" t="str">
        <f t="shared" ca="1" si="29"/>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M161" s="684"/>
      <c r="N161" s="684"/>
      <c r="O161" s="288">
        <v>1</v>
      </c>
      <c r="AA161" s="55" t="str">
        <f t="shared" ca="1" si="29"/>
        <v>Lohnfortzahlung Nächte</v>
      </c>
      <c r="AF161" s="55" t="str">
        <f t="shared" ref="AF161" ca="1" si="30">INDIRECT(ADDRESS(ROW()+N_Offset_M,COLUMN(F161)+(N_SpracheAuswahl)*26,,,"Text"))</f>
        <v>muss manuell ausgerechnet werden, siehe Zeile</v>
      </c>
      <c r="AJ161" s="55">
        <f>ROW(A$331)</f>
        <v>331</v>
      </c>
    </row>
    <row r="162" spans="1:36" ht="13.8" thickBot="1" x14ac:dyDescent="0.3">
      <c r="A162" s="864" t="str">
        <f t="shared" ref="A162" ca="1" si="31">IF(O162=0,"",IF(O162=1,AA162,P162))</f>
        <v>Lohnfortzahlung Stunden</v>
      </c>
      <c r="B162" s="864"/>
      <c r="C162" s="864"/>
      <c r="D162" s="864"/>
      <c r="E162" s="865"/>
      <c r="F162" s="860">
        <f ca="1">SUMIF($A$264:$A$294,"&lt;="&amp;F159,$I$264:$I$294)-SUMIF($A$264:$A$294,"&lt;"&amp;F158,$I$264:$I$294)</f>
        <v>0</v>
      </c>
      <c r="G162" s="861"/>
      <c r="H162" s="861"/>
      <c r="I162" s="861"/>
      <c r="M162" s="684"/>
      <c r="N162" s="684"/>
      <c r="O162" s="288">
        <v>1</v>
      </c>
      <c r="AA162" s="55" t="str">
        <f t="shared" ca="1" si="29"/>
        <v>Lohnfortzahlung Stunden</v>
      </c>
    </row>
    <row r="163" spans="1:36" ht="13.8" thickBot="1" x14ac:dyDescent="0.3">
      <c r="A163" s="864" t="str">
        <f t="shared" ca="1" si="28"/>
        <v>Grund der Arbeitsunfähigkeit</v>
      </c>
      <c r="B163" s="864"/>
      <c r="C163" s="864"/>
      <c r="D163" s="864"/>
      <c r="E163" s="865"/>
      <c r="F163" s="184">
        <f>IF(O163&gt;0,G216,"")</f>
        <v>0</v>
      </c>
      <c r="G163" s="180"/>
      <c r="H163" s="180"/>
      <c r="I163" s="180"/>
      <c r="M163" s="684"/>
      <c r="N163" s="684"/>
      <c r="O163" s="288">
        <v>1</v>
      </c>
      <c r="AA163" s="55" t="str">
        <f t="shared" ca="1" si="29"/>
        <v>Grund der Arbeitsunfähigkeit</v>
      </c>
    </row>
    <row r="164" spans="1:36" ht="13.8" thickBot="1" x14ac:dyDescent="0.3">
      <c r="A164" s="864" t="str">
        <f t="shared" ca="1" si="28"/>
        <v>Grund, falls andere</v>
      </c>
      <c r="B164" s="864"/>
      <c r="C164" s="864"/>
      <c r="D164" s="864"/>
      <c r="E164" s="865"/>
      <c r="F164" s="291"/>
      <c r="G164" s="290"/>
      <c r="H164" s="290"/>
      <c r="I164" s="290"/>
      <c r="M164" s="684"/>
      <c r="N164" s="684"/>
      <c r="O164" s="288">
        <v>1</v>
      </c>
      <c r="AA164" s="55" t="str">
        <f t="shared" ca="1" si="29"/>
        <v>Grund, falls andere</v>
      </c>
    </row>
    <row r="165" spans="1:36" ht="13.8" thickBot="1" x14ac:dyDescent="0.3">
      <c r="A165" s="864" t="str">
        <f t="shared" ca="1" si="28"/>
        <v>Rückerstattung anderer Versicherungen</v>
      </c>
      <c r="B165" s="864"/>
      <c r="C165" s="864"/>
      <c r="D165" s="864"/>
      <c r="E165" s="865"/>
      <c r="F165" s="182" t="str">
        <f ca="1">IF(O166&gt;0,IF(F166&gt;0,OFFSET(L_JaNein,0,0,1,1),OFFSET(L_JaNein,1,0,1,1)),"")</f>
        <v>Nein</v>
      </c>
      <c r="G165" s="180"/>
      <c r="H165" s="180"/>
      <c r="I165" s="180"/>
      <c r="M165" s="684"/>
      <c r="N165" s="684"/>
      <c r="O165" s="288">
        <v>1</v>
      </c>
      <c r="AA165" s="55" t="str">
        <f t="shared" ca="1" si="29"/>
        <v>Rückerstattung anderer Versicherungen</v>
      </c>
    </row>
    <row r="166" spans="1:36" ht="13.8" thickBot="1" x14ac:dyDescent="0.3">
      <c r="A166" s="864" t="str">
        <f t="shared" ca="1" si="28"/>
        <v>Rückerstattung in CHF</v>
      </c>
      <c r="B166" s="864"/>
      <c r="C166" s="864"/>
      <c r="D166" s="864"/>
      <c r="E166" s="865"/>
      <c r="F166" s="182"/>
      <c r="G166" s="180"/>
      <c r="H166" s="180"/>
      <c r="I166" s="180"/>
      <c r="M166" s="684"/>
      <c r="N166" s="684"/>
      <c r="O166" s="288">
        <v>1</v>
      </c>
      <c r="AA166" s="55" t="str">
        <f t="shared" ca="1" si="29"/>
        <v>Rückerstattung in CHF</v>
      </c>
    </row>
    <row r="167" spans="1:36" ht="13.8" thickBot="1" x14ac:dyDescent="0.3">
      <c r="A167" s="864" t="str">
        <f t="shared" ca="1" si="28"/>
        <v>Wartefrist</v>
      </c>
      <c r="B167" s="864"/>
      <c r="C167" s="864"/>
      <c r="D167" s="864"/>
      <c r="E167" s="865"/>
      <c r="F167" s="183" t="str">
        <f ca="1">IF(O167&gt;0,IF(VLOOKUP(F165,A_JaNein_Auswahl,2,0)=1,IF(ISERROR(P167),"",P167),""),"")</f>
        <v/>
      </c>
      <c r="G167" s="180"/>
      <c r="H167" s="180"/>
      <c r="I167" s="180"/>
      <c r="M167" s="684"/>
      <c r="N167" s="684"/>
      <c r="O167" s="288">
        <v>1</v>
      </c>
      <c r="P167" s="289" t="str">
        <f ca="1">IF(AND(S216=5,'  B  '!F$110=1),'  B  '!C$111,IF(AND(S216=6,S217=0),'  B  '!F$104,""))</f>
        <v/>
      </c>
      <c r="AA167" s="55" t="str">
        <f t="shared" ca="1" si="29"/>
        <v>Wartefrist</v>
      </c>
    </row>
    <row r="168" spans="1:36" ht="13.8" thickBot="1" x14ac:dyDescent="0.3">
      <c r="I168" s="179"/>
      <c r="M168" s="684"/>
      <c r="N168" s="684"/>
      <c r="O168" s="288">
        <v>1</v>
      </c>
    </row>
    <row r="169" spans="1:36" ht="13.8" thickBot="1" x14ac:dyDescent="0.3">
      <c r="A169" s="864" t="str">
        <f ca="1">IF(O169=0,"",IF(O169=1,AA169,P169))</f>
        <v>Lohnfortzahlung von</v>
      </c>
      <c r="B169" s="864"/>
      <c r="C169" s="864"/>
      <c r="D169" s="864"/>
      <c r="E169" s="865"/>
      <c r="F169" s="181">
        <f>IF(O169&gt;0,I224,"")</f>
        <v>0</v>
      </c>
      <c r="G169" s="180"/>
      <c r="H169" s="180"/>
      <c r="I169" s="180"/>
      <c r="M169" s="684"/>
      <c r="N169" s="684"/>
      <c r="O169" s="288">
        <v>1</v>
      </c>
      <c r="P169" s="289" t="str">
        <f ca="1">B_WeiterInZeile&amp;" "&amp;ROW(A$199)</f>
        <v>weiter in Zeile  199</v>
      </c>
      <c r="AA169" s="55" t="str">
        <f t="shared" ref="AA169:AA178" ca="1" si="32">INDIRECT(ADDRESS(ROW()+N_Offset_M,COLUMN(A169)+(N_SpracheAuswahl)*26,,,"Text"))</f>
        <v>Lohnfortzahlung von</v>
      </c>
    </row>
    <row r="170" spans="1:36" ht="13.8" thickBot="1" x14ac:dyDescent="0.3">
      <c r="A170" s="864" t="str">
        <f t="shared" ca="1" si="28"/>
        <v>Lohnfortzahlung bis</v>
      </c>
      <c r="B170" s="864"/>
      <c r="C170" s="864"/>
      <c r="D170" s="864"/>
      <c r="E170" s="865"/>
      <c r="F170" s="181">
        <f ca="1">IF(O170&gt;0,IF(S226=$Y$260,IF(AND(I230&lt;I225,I230&gt;I224),I230-1,I225),IF(S226=$Z$260,MIN(I224+1,I225),I225)),"")</f>
        <v>0</v>
      </c>
      <c r="G170" s="180"/>
      <c r="H170" s="180"/>
      <c r="I170" s="180"/>
      <c r="M170" s="684"/>
      <c r="N170" s="684"/>
      <c r="O170" s="288">
        <v>1</v>
      </c>
      <c r="AA170" s="55" t="str">
        <f t="shared" ca="1" si="32"/>
        <v>Lohnfortzahlung bis</v>
      </c>
    </row>
    <row r="171" spans="1:36" ht="13.8" thickBot="1" x14ac:dyDescent="0.3">
      <c r="A171" s="864" t="str">
        <f t="shared" ca="1" si="28"/>
        <v xml:space="preserve">Lohnfortzahlung für </v>
      </c>
      <c r="B171" s="864"/>
      <c r="C171" s="864"/>
      <c r="D171" s="864"/>
      <c r="E171" s="865"/>
      <c r="F171" s="183" t="str">
        <f>IF(O171&gt;0,'  B  '!C35&amp;", "&amp;'  B  '!C34,"")</f>
        <v xml:space="preserve">, </v>
      </c>
      <c r="G171" s="180"/>
      <c r="H171" s="180"/>
      <c r="I171" s="180"/>
      <c r="M171" s="684"/>
      <c r="N171" s="684"/>
      <c r="O171" s="288">
        <v>1</v>
      </c>
      <c r="AA171" s="55" t="str">
        <f t="shared" ca="1" si="32"/>
        <v xml:space="preserve">Lohnfortzahlung für </v>
      </c>
    </row>
    <row r="172" spans="1:36" ht="13.8" thickBot="1" x14ac:dyDescent="0.3">
      <c r="A172" s="864" t="str">
        <f t="shared" ref="A172" ca="1" si="33">IF(O172=0,"",IF(O172=1,AA172,P172))</f>
        <v>Lohnfortzahlung Nächte</v>
      </c>
      <c r="B172" s="864"/>
      <c r="C172" s="864"/>
      <c r="D172" s="864"/>
      <c r="E172" s="865"/>
      <c r="F172" s="182">
        <f>SUM(I232)</f>
        <v>0</v>
      </c>
      <c r="G172" s="180"/>
      <c r="H172" s="180"/>
      <c r="I172" s="180"/>
      <c r="M172" s="684"/>
      <c r="N172" s="684"/>
      <c r="O172" s="288">
        <v>1</v>
      </c>
      <c r="AA172" s="55" t="str">
        <f t="shared" ca="1" si="32"/>
        <v>Lohnfortzahlung Nächte</v>
      </c>
    </row>
    <row r="173" spans="1:36" ht="13.8" thickBot="1" x14ac:dyDescent="0.3">
      <c r="A173" s="864" t="str">
        <f t="shared" ca="1" si="28"/>
        <v>Lohnfortzahlung Stunden</v>
      </c>
      <c r="B173" s="864"/>
      <c r="C173" s="864"/>
      <c r="D173" s="864"/>
      <c r="E173" s="865"/>
      <c r="F173" s="860">
        <f ca="1">SUMIF($A$264:$A$294,"&lt;="&amp;F170,$I$264:$I$294)-SUMIF($A$264:$A$294,"&lt;"&amp;F169,$I$264:$I$294)</f>
        <v>0</v>
      </c>
      <c r="G173" s="861"/>
      <c r="H173" s="861"/>
      <c r="I173" s="861"/>
      <c r="M173" s="684"/>
      <c r="N173" s="684"/>
      <c r="O173" s="288">
        <v>1</v>
      </c>
      <c r="AA173" s="55" t="str">
        <f t="shared" ca="1" si="32"/>
        <v>Lohnfortzahlung Stunden</v>
      </c>
      <c r="AJ173" s="55">
        <f>ROW(A$331)</f>
        <v>331</v>
      </c>
    </row>
    <row r="174" spans="1:36" ht="13.8" thickBot="1" x14ac:dyDescent="0.3">
      <c r="A174" s="864" t="str">
        <f t="shared" ca="1" si="28"/>
        <v>Grund der Arbeitsunfähigkeit</v>
      </c>
      <c r="B174" s="864"/>
      <c r="C174" s="864"/>
      <c r="D174" s="864"/>
      <c r="E174" s="865"/>
      <c r="F174" s="183">
        <f>IF(O174&gt;0,G226,"")</f>
        <v>0</v>
      </c>
      <c r="G174" s="180"/>
      <c r="H174" s="180"/>
      <c r="I174" s="180"/>
      <c r="M174" s="684"/>
      <c r="N174" s="684"/>
      <c r="O174" s="288">
        <v>1</v>
      </c>
      <c r="AA174" s="55" t="str">
        <f t="shared" ca="1" si="32"/>
        <v>Grund der Arbeitsunfähigkeit</v>
      </c>
    </row>
    <row r="175" spans="1:36" ht="13.8" thickBot="1" x14ac:dyDescent="0.3">
      <c r="A175" s="864" t="str">
        <f t="shared" ca="1" si="28"/>
        <v>Grund, falls andere</v>
      </c>
      <c r="B175" s="864"/>
      <c r="C175" s="864"/>
      <c r="D175" s="864"/>
      <c r="E175" s="865"/>
      <c r="F175" s="291"/>
      <c r="G175" s="290"/>
      <c r="H175" s="690"/>
      <c r="I175" s="290"/>
      <c r="M175" s="684"/>
      <c r="N175" s="684"/>
      <c r="O175" s="288">
        <v>1</v>
      </c>
      <c r="AA175" s="55" t="str">
        <f t="shared" ca="1" si="32"/>
        <v>Grund, falls andere</v>
      </c>
    </row>
    <row r="176" spans="1:36" ht="13.8" thickBot="1" x14ac:dyDescent="0.3">
      <c r="A176" s="864" t="str">
        <f t="shared" ca="1" si="28"/>
        <v>Rückerstattung anderer Versicherungen</v>
      </c>
      <c r="B176" s="864"/>
      <c r="C176" s="864"/>
      <c r="D176" s="864"/>
      <c r="E176" s="865"/>
      <c r="F176" s="182" t="str">
        <f ca="1">IF(O176&gt;0,IF(F177&gt;0,OFFSET(L_JaNein,0,0,1,1),OFFSET(L_JaNein,1,0,1,1)),"")</f>
        <v>Nein</v>
      </c>
      <c r="G176" s="180"/>
      <c r="H176" s="180"/>
      <c r="I176" s="180"/>
      <c r="M176" s="684"/>
      <c r="N176" s="684"/>
      <c r="O176" s="288">
        <v>1</v>
      </c>
      <c r="AA176" s="55" t="str">
        <f t="shared" ca="1" si="32"/>
        <v>Rückerstattung anderer Versicherungen</v>
      </c>
    </row>
    <row r="177" spans="1:36" ht="13.8" thickBot="1" x14ac:dyDescent="0.3">
      <c r="A177" s="864" t="str">
        <f t="shared" ca="1" si="28"/>
        <v>Rückerstattung in CHF</v>
      </c>
      <c r="B177" s="864"/>
      <c r="C177" s="864"/>
      <c r="D177" s="864"/>
      <c r="E177" s="865"/>
      <c r="F177" s="182"/>
      <c r="G177" s="180"/>
      <c r="H177" s="180"/>
      <c r="I177" s="180"/>
      <c r="M177" s="684"/>
      <c r="N177" s="684"/>
      <c r="O177" s="288">
        <v>1</v>
      </c>
      <c r="AA177" s="55" t="str">
        <f t="shared" ca="1" si="32"/>
        <v>Rückerstattung in CHF</v>
      </c>
    </row>
    <row r="178" spans="1:36" ht="13.8" thickBot="1" x14ac:dyDescent="0.3">
      <c r="A178" s="864" t="str">
        <f t="shared" ca="1" si="28"/>
        <v>Wartefrist</v>
      </c>
      <c r="B178" s="864"/>
      <c r="C178" s="864"/>
      <c r="D178" s="864"/>
      <c r="E178" s="865"/>
      <c r="F178" s="182" t="str">
        <f ca="1">IF(O178&gt;0,IF(VLOOKUP(F176,A_JaNein_Auswahl,2,0)=1,IF(ISERROR(P178),"",P178),""),"")</f>
        <v/>
      </c>
      <c r="G178" s="180"/>
      <c r="H178" s="180"/>
      <c r="I178" s="180"/>
      <c r="M178" s="684"/>
      <c r="N178" s="684"/>
      <c r="O178" s="288">
        <v>1</v>
      </c>
      <c r="P178" s="289" t="str">
        <f ca="1">IF(AND(S226=5,'  B  '!F$110=1),'  B  '!C$111,IF(AND(S226=6,S227=0),'  B  '!F$104,""))</f>
        <v/>
      </c>
      <c r="AA178" s="55" t="str">
        <f t="shared" ca="1" si="32"/>
        <v>Wartefrist</v>
      </c>
    </row>
    <row r="179" spans="1:36" ht="13.8" thickBot="1" x14ac:dyDescent="0.3">
      <c r="F179" s="55" t="str">
        <f ca="1">IF(O179&gt;0,IF(VLOOKUP(F177,A_JaNein_Auswahl,2,0)=1,IF(ISERROR(P179),"",P179),""),"")</f>
        <v/>
      </c>
      <c r="I179" s="179"/>
      <c r="M179" s="684"/>
      <c r="N179" s="684"/>
      <c r="O179" s="288">
        <v>1</v>
      </c>
    </row>
    <row r="180" spans="1:36" ht="13.8" thickBot="1" x14ac:dyDescent="0.3">
      <c r="A180" s="864" t="str">
        <f t="shared" ref="A180" ca="1" si="34">IF(O180=0,"",IF(O180=1,AA180,P180))</f>
        <v>Lohnfortzahlung von</v>
      </c>
      <c r="B180" s="864"/>
      <c r="C180" s="864"/>
      <c r="D180" s="864"/>
      <c r="E180" s="865"/>
      <c r="F180" s="181">
        <f>IF(O180&gt;0,I234,"")</f>
        <v>0</v>
      </c>
      <c r="G180" s="180"/>
      <c r="H180" s="180"/>
      <c r="I180" s="180"/>
      <c r="M180" s="684"/>
      <c r="N180" s="684"/>
      <c r="O180" s="288">
        <v>1</v>
      </c>
      <c r="P180" s="289" t="str">
        <f ca="1">B_WeiterInZeile&amp;" "&amp;ROW(A$199)</f>
        <v>weiter in Zeile  199</v>
      </c>
      <c r="AA180" s="55" t="str">
        <f t="shared" ref="AA180:AA204" ca="1" si="35">INDIRECT(ADDRESS(ROW()+N_Offset_M,COLUMN(A180)+(N_SpracheAuswahl)*26,,,"Text"))</f>
        <v>Lohnfortzahlung von</v>
      </c>
    </row>
    <row r="181" spans="1:36" ht="13.8" thickBot="1" x14ac:dyDescent="0.3">
      <c r="A181" s="864" t="str">
        <f t="shared" ca="1" si="28"/>
        <v>Lohnfortzahlung bis</v>
      </c>
      <c r="B181" s="864"/>
      <c r="C181" s="864"/>
      <c r="D181" s="864"/>
      <c r="E181" s="865"/>
      <c r="F181" s="181">
        <f ca="1">IF(O181&gt;0,IF(S236=$Y$260,IF(AND(I240&lt;I235,I240&gt;I234),I240-1,I235),IF(S236=$Z$260,MIN(I234+1,I235),I235)),"")</f>
        <v>0</v>
      </c>
      <c r="G181" s="180"/>
      <c r="H181" s="180"/>
      <c r="I181" s="180"/>
      <c r="M181" s="684"/>
      <c r="N181" s="684"/>
      <c r="O181" s="288">
        <v>1</v>
      </c>
      <c r="AA181" s="55" t="str">
        <f t="shared" ca="1" si="35"/>
        <v>Lohnfortzahlung bis</v>
      </c>
    </row>
    <row r="182" spans="1:36" ht="13.8" thickBot="1" x14ac:dyDescent="0.3">
      <c r="A182" s="864" t="str">
        <f t="shared" ca="1" si="28"/>
        <v xml:space="preserve">Lohnfortzahlung für </v>
      </c>
      <c r="B182" s="864"/>
      <c r="C182" s="864"/>
      <c r="D182" s="864"/>
      <c r="E182" s="865"/>
      <c r="F182" s="183" t="str">
        <f>IF(O182&gt;0,'  B  '!C35&amp;", "&amp;'  B  '!C34,"")</f>
        <v xml:space="preserve">, </v>
      </c>
      <c r="G182" s="180"/>
      <c r="H182" s="180"/>
      <c r="I182" s="180"/>
      <c r="M182" s="684"/>
      <c r="N182" s="684"/>
      <c r="O182" s="288">
        <v>1</v>
      </c>
      <c r="AA182" s="55" t="str">
        <f t="shared" ca="1" si="35"/>
        <v xml:space="preserve">Lohnfortzahlung für </v>
      </c>
    </row>
    <row r="183" spans="1:36" ht="13.8" thickBot="1" x14ac:dyDescent="0.3">
      <c r="A183" s="864" t="str">
        <f t="shared" ref="A183" ca="1" si="36">IF(O183=0,"",IF(O183=1,AA183,P183))</f>
        <v>Lohnfortzahlung Nächte</v>
      </c>
      <c r="B183" s="864"/>
      <c r="C183" s="864"/>
      <c r="D183" s="864"/>
      <c r="E183" s="865"/>
      <c r="F183" s="182">
        <f>SUM(I242)</f>
        <v>0</v>
      </c>
      <c r="G183" s="180"/>
      <c r="H183" s="180"/>
      <c r="I183" s="180"/>
      <c r="M183" s="684"/>
      <c r="N183" s="684"/>
      <c r="O183" s="288">
        <v>1</v>
      </c>
      <c r="AA183" s="55" t="str">
        <f t="shared" ca="1" si="35"/>
        <v>Lohnfortzahlung Nächte</v>
      </c>
    </row>
    <row r="184" spans="1:36" ht="13.8" thickBot="1" x14ac:dyDescent="0.3">
      <c r="A184" s="864" t="str">
        <f t="shared" ca="1" si="28"/>
        <v>Lohnfortzahlung Stunden</v>
      </c>
      <c r="B184" s="864"/>
      <c r="C184" s="864"/>
      <c r="D184" s="864"/>
      <c r="E184" s="865"/>
      <c r="F184" s="860">
        <f ca="1">SUMIF($A$264:$A$294,"&lt;="&amp;F181,$I$264:$I$294)-SUMIF($A$264:$A$294,"&lt;"&amp;F180,$I$264:$I$294)</f>
        <v>0</v>
      </c>
      <c r="G184" s="861"/>
      <c r="H184" s="861"/>
      <c r="I184" s="861"/>
      <c r="M184" s="684"/>
      <c r="N184" s="684"/>
      <c r="O184" s="288">
        <v>1</v>
      </c>
      <c r="AA184" s="55" t="str">
        <f t="shared" ca="1" si="35"/>
        <v>Lohnfortzahlung Stunden</v>
      </c>
      <c r="AJ184" s="55">
        <f>ROW(A$331)</f>
        <v>331</v>
      </c>
    </row>
    <row r="185" spans="1:36" ht="13.8" thickBot="1" x14ac:dyDescent="0.3">
      <c r="A185" s="864" t="str">
        <f t="shared" ca="1" si="28"/>
        <v>Grund der Arbeitsunfähigkeit</v>
      </c>
      <c r="B185" s="864"/>
      <c r="C185" s="864"/>
      <c r="D185" s="864"/>
      <c r="E185" s="865"/>
      <c r="F185" s="183">
        <f>IF(O185&gt;0,G236,"")</f>
        <v>0</v>
      </c>
      <c r="G185" s="180"/>
      <c r="H185" s="180"/>
      <c r="I185" s="180"/>
      <c r="O185" s="288">
        <v>1</v>
      </c>
      <c r="AA185" s="55" t="str">
        <f t="shared" ca="1" si="35"/>
        <v>Grund der Arbeitsunfähigkeit</v>
      </c>
    </row>
    <row r="186" spans="1:36" ht="13.8" thickBot="1" x14ac:dyDescent="0.3">
      <c r="A186" s="864" t="str">
        <f t="shared" ca="1" si="28"/>
        <v>Grund, falls andere</v>
      </c>
      <c r="B186" s="864"/>
      <c r="C186" s="864"/>
      <c r="D186" s="864"/>
      <c r="E186" s="865"/>
      <c r="F186" s="291"/>
      <c r="G186" s="290"/>
      <c r="H186" s="290"/>
      <c r="I186" s="290"/>
      <c r="O186" s="288">
        <v>1</v>
      </c>
      <c r="AA186" s="55" t="str">
        <f t="shared" ca="1" si="35"/>
        <v>Grund, falls andere</v>
      </c>
    </row>
    <row r="187" spans="1:36" ht="13.8" thickBot="1" x14ac:dyDescent="0.3">
      <c r="A187" s="864" t="str">
        <f t="shared" ca="1" si="28"/>
        <v>Rückerstattung anderer Versicherungen</v>
      </c>
      <c r="B187" s="864"/>
      <c r="C187" s="864"/>
      <c r="D187" s="864"/>
      <c r="E187" s="865"/>
      <c r="F187" s="182" t="str">
        <f ca="1">IF(O187&gt;0,IF(F188&gt;0,OFFSET(L_JaNein,0,0,1,1),OFFSET(L_JaNein,1,0,1,1)),"")</f>
        <v>Nein</v>
      </c>
      <c r="G187" s="180"/>
      <c r="H187" s="180"/>
      <c r="I187" s="180"/>
      <c r="O187" s="288">
        <v>1</v>
      </c>
      <c r="AA187" s="55" t="str">
        <f t="shared" ca="1" si="35"/>
        <v>Rückerstattung anderer Versicherungen</v>
      </c>
    </row>
    <row r="188" spans="1:36" ht="13.65" customHeight="1" thickBot="1" x14ac:dyDescent="0.3">
      <c r="A188" s="864" t="str">
        <f t="shared" ca="1" si="28"/>
        <v>Rückerstattung in CHF</v>
      </c>
      <c r="B188" s="864"/>
      <c r="C188" s="864"/>
      <c r="D188" s="864"/>
      <c r="E188" s="865"/>
      <c r="F188" s="182"/>
      <c r="G188" s="180"/>
      <c r="H188" s="180"/>
      <c r="I188" s="180"/>
      <c r="O188" s="288">
        <v>1</v>
      </c>
      <c r="AA188" s="55" t="str">
        <f t="shared" ca="1" si="35"/>
        <v>Rückerstattung in CHF</v>
      </c>
    </row>
    <row r="189" spans="1:36" ht="12.9" customHeight="1" thickBot="1" x14ac:dyDescent="0.3">
      <c r="A189" s="864" t="str">
        <f t="shared" ca="1" si="28"/>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5"/>
        <v>Wartefrist</v>
      </c>
    </row>
    <row r="190" spans="1:36" customFormat="1" ht="2.1" customHeight="1" x14ac:dyDescent="0.25">
      <c r="A190" s="578" t="str">
        <f ca="1">B_WeiterInZeile&amp;ROW(A$199)</f>
        <v>weiter in Zeile 199</v>
      </c>
    </row>
    <row r="191" spans="1:36" customFormat="1" ht="2.1" customHeight="1" x14ac:dyDescent="0.25"/>
    <row r="192" spans="1:36" customFormat="1" ht="2.1" customHeight="1" x14ac:dyDescent="0.25"/>
    <row r="193" spans="1:43" customFormat="1" ht="2.1" customHeight="1" x14ac:dyDescent="0.25"/>
    <row r="194" spans="1:43" customFormat="1" ht="2.1" customHeight="1" x14ac:dyDescent="0.25"/>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ca="1" si="35"/>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Februar 2024</v>
      </c>
      <c r="L200" s="87"/>
      <c r="N200" s="87"/>
      <c r="O200" s="288">
        <f ca="1">1*NOT(AA200=0)</f>
        <v>1</v>
      </c>
      <c r="AA200" s="158" t="str">
        <f t="shared" ca="1" si="35"/>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5"/>
        <v>1. Ferien der Assistenzperson</v>
      </c>
    </row>
    <row r="202" spans="1:43" ht="27" customHeight="1" x14ac:dyDescent="0.25">
      <c r="A202" s="862" t="str">
        <f t="shared" ref="A202:A211" ca="1" si="37">IF(O202=0,"",IF(O202=1,AA202,P202))</f>
        <v>Ferienguthaben Monatsbeginn</v>
      </c>
      <c r="B202" s="862"/>
      <c r="C202" s="862"/>
      <c r="D202" s="862"/>
      <c r="E202" s="970" t="str">
        <f t="shared" ref="E202:E211" ca="1" si="38">IF(O202&gt;0,AE202,"")</f>
        <v>Kalendertage</v>
      </c>
      <c r="F202" s="971"/>
      <c r="G202" s="971"/>
      <c r="H202" s="972"/>
      <c r="I202" s="147">
        <f ca="1">AT263</f>
        <v>28</v>
      </c>
      <c r="O202" s="288">
        <v>1</v>
      </c>
      <c r="AA202" s="55" t="str">
        <f t="shared" ca="1" si="35"/>
        <v>Ferienguthaben Monatsbeginn</v>
      </c>
      <c r="AE202" s="55" t="str">
        <f ca="1">INDIRECT(ADDRESS(ROW()+N_Offset_M,COLUMN(E202)+(N_SpracheAuswahl)*26,,,"Text"))</f>
        <v>Kalendertage</v>
      </c>
    </row>
    <row r="203" spans="1:43" x14ac:dyDescent="0.25">
      <c r="A203" s="906" t="str">
        <f t="shared" ca="1" si="37"/>
        <v>Ferienbeginn</v>
      </c>
      <c r="B203" s="906"/>
      <c r="C203" s="906"/>
      <c r="D203" s="906"/>
      <c r="E203" s="970" t="str">
        <f t="shared" ca="1" si="38"/>
        <v>Datum erster Ferientag</v>
      </c>
      <c r="F203" s="971"/>
      <c r="G203" s="971"/>
      <c r="H203" s="972"/>
      <c r="I203" s="185"/>
      <c r="O203" s="288">
        <f ca="1">1*NOT(AA203=0)</f>
        <v>1</v>
      </c>
      <c r="AA203" s="55" t="str">
        <f t="shared" ca="1" si="35"/>
        <v>Ferienbeginn</v>
      </c>
      <c r="AE203" s="55" t="str">
        <f ca="1">INDIRECT(ADDRESS(ROW()+N_Offset_M,COLUMN(E203)+(N_SpracheAuswahl)*26,,,"Text"))</f>
        <v>Datum erster Ferientag</v>
      </c>
    </row>
    <row r="204" spans="1:43" x14ac:dyDescent="0.25">
      <c r="A204" s="906" t="str">
        <f t="shared" ca="1" si="37"/>
        <v>Ferienende</v>
      </c>
      <c r="B204" s="906"/>
      <c r="C204" s="906"/>
      <c r="D204" s="906"/>
      <c r="E204" s="970" t="str">
        <f t="shared" ca="1" si="38"/>
        <v>Datum letzter Ferientag</v>
      </c>
      <c r="F204" s="971"/>
      <c r="G204" s="971"/>
      <c r="H204" s="972"/>
      <c r="I204" s="673"/>
      <c r="O204" s="288">
        <f ca="1">1*NOT(AA204=0)</f>
        <v>1</v>
      </c>
      <c r="AA204" s="55" t="str">
        <f t="shared" ca="1" si="35"/>
        <v>Ferienende</v>
      </c>
      <c r="AE204" s="55" t="str">
        <f ca="1">INDIRECT(ADDRESS(ROW()+N_Offset_M,COLUMN(E204)+(N_SpracheAuswahl)*26,,,"Text"))</f>
        <v>Datum letzter Ferientag</v>
      </c>
    </row>
    <row r="205" spans="1:43" x14ac:dyDescent="0.25">
      <c r="A205" s="906" t="str">
        <f t="shared" si="37"/>
        <v/>
      </c>
      <c r="B205" s="906"/>
      <c r="C205" s="906"/>
      <c r="D205" s="906"/>
      <c r="E205" s="92" t="str">
        <f t="shared" si="38"/>
        <v/>
      </c>
      <c r="F205" s="57"/>
      <c r="G205" s="57"/>
      <c r="H205" s="57"/>
      <c r="I205" s="559"/>
      <c r="O205" s="288">
        <f>1*NOT(AA205=0)</f>
        <v>0</v>
      </c>
    </row>
    <row r="206" spans="1:43" x14ac:dyDescent="0.25">
      <c r="A206" s="906" t="str">
        <f t="shared" ca="1" si="37"/>
        <v>weiter in Zeile  211</v>
      </c>
      <c r="B206" s="906"/>
      <c r="C206" s="906"/>
      <c r="D206" s="906"/>
      <c r="E206" s="970" t="str">
        <f t="shared" si="38"/>
        <v/>
      </c>
      <c r="F206" s="971"/>
      <c r="G206" s="971"/>
      <c r="H206" s="972"/>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7"/>
        <v/>
      </c>
      <c r="B207" s="906"/>
      <c r="C207" s="906"/>
      <c r="D207" s="906"/>
      <c r="E207" s="970" t="str">
        <f t="shared" si="38"/>
        <v/>
      </c>
      <c r="F207" s="971"/>
      <c r="G207" s="971"/>
      <c r="H207" s="972"/>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7"/>
        <v/>
      </c>
      <c r="B208" s="906"/>
      <c r="C208" s="906"/>
      <c r="D208" s="906"/>
      <c r="E208" s="92" t="str">
        <f t="shared" si="38"/>
        <v/>
      </c>
      <c r="F208" s="57"/>
      <c r="G208" s="57"/>
      <c r="H208" s="57"/>
      <c r="I208" s="559"/>
      <c r="O208" s="288">
        <f>1*NOT(AA208=0)</f>
        <v>0</v>
      </c>
    </row>
    <row r="209" spans="1:36" x14ac:dyDescent="0.25">
      <c r="A209" s="906" t="str">
        <f t="shared" si="37"/>
        <v/>
      </c>
      <c r="B209" s="906"/>
      <c r="C209" s="906"/>
      <c r="D209" s="906"/>
      <c r="E209" s="970" t="str">
        <f t="shared" si="38"/>
        <v/>
      </c>
      <c r="F209" s="971"/>
      <c r="G209" s="971"/>
      <c r="H209" s="972"/>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7"/>
        <v/>
      </c>
      <c r="B210" s="906"/>
      <c r="C210" s="906"/>
      <c r="D210" s="906"/>
      <c r="E210" s="970" t="str">
        <f t="shared" si="38"/>
        <v/>
      </c>
      <c r="F210" s="971"/>
      <c r="G210" s="971"/>
      <c r="H210" s="972"/>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7"/>
        <v>Ferienguthaben Monatsende</v>
      </c>
      <c r="B211" s="906"/>
      <c r="C211" s="906"/>
      <c r="D211" s="906"/>
      <c r="E211" s="970" t="str">
        <f t="shared" ca="1" si="38"/>
        <v>Kalendertage</v>
      </c>
      <c r="F211" s="971"/>
      <c r="G211" s="971"/>
      <c r="H211" s="972"/>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9">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9"/>
        <v>Abwesenheit Beginn</v>
      </c>
      <c r="AE214" s="55" t="str">
        <f t="shared" ref="AE214:AE222" ca="1" si="40">INDIRECT(ADDRESS(ROW()+N_Offset_M,COLUMN(E214)+(N_SpracheAuswahl)*26,,,"Text"))</f>
        <v>Datum erster Tag</v>
      </c>
    </row>
    <row r="215" spans="1:36" x14ac:dyDescent="0.25">
      <c r="A215" s="906" t="str">
        <f t="shared" ref="A215:A221" ca="1" si="41">IF(O215=0,"",IF(O215=1,AA215,P215))</f>
        <v>Abwesenheit Ende</v>
      </c>
      <c r="B215" s="906"/>
      <c r="C215" s="906"/>
      <c r="D215" s="906"/>
      <c r="E215" s="92" t="str">
        <f t="shared" ref="E215:E222" ca="1" si="42">IF(O215&gt;0,AE215,"")</f>
        <v>Datum letzter Tag (in diesem Monat)</v>
      </c>
      <c r="F215" s="308"/>
      <c r="G215" s="57"/>
      <c r="H215" s="57"/>
      <c r="I215" s="185"/>
      <c r="O215" s="288">
        <f ca="1">1*NOT(AA215=0)</f>
        <v>1</v>
      </c>
      <c r="P215" s="56"/>
      <c r="AA215" s="55" t="str">
        <f t="shared" ca="1" si="39"/>
        <v>Abwesenheit Ende</v>
      </c>
      <c r="AE215" s="55" t="str">
        <f t="shared" ca="1" si="40"/>
        <v>Datum letzter Tag (in diesem Monat)</v>
      </c>
    </row>
    <row r="216" spans="1:36" ht="27" customHeight="1" x14ac:dyDescent="0.25">
      <c r="A216" s="908" t="str">
        <f t="shared" ca="1" si="41"/>
        <v>weiter in Zeile  244</v>
      </c>
      <c r="B216" s="908"/>
      <c r="C216" s="908"/>
      <c r="D216" s="908"/>
      <c r="E216" s="968" t="str">
        <f>IF(O216&gt;0,AE216,"")</f>
        <v/>
      </c>
      <c r="F216" s="969"/>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9"/>
        <v>Grund für Abwesenheit</v>
      </c>
      <c r="AE216" s="55" t="str">
        <f t="shared" ca="1" si="40"/>
        <v>Auswahl in Spalte G-I</v>
      </c>
    </row>
    <row r="217" spans="1:36" ht="25.2" customHeight="1" x14ac:dyDescent="0.25">
      <c r="A217" s="920" t="str">
        <f ca="1">IF(O217=0,"",IF(O217=1,AA217,IF(O217=2,AI217&amp;" "&amp;AJ217,P217)))</f>
        <v/>
      </c>
      <c r="B217" s="920"/>
      <c r="C217" s="920"/>
      <c r="D217" s="920"/>
      <c r="E217" s="650" t="str">
        <f t="shared" ca="1" si="42"/>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9"/>
        <v>Art des Unfalls</v>
      </c>
      <c r="AE217" s="55" t="str">
        <f t="shared" ca="1" si="40"/>
        <v>Auswahl in Spalte G-I</v>
      </c>
      <c r="AI217" s="55" t="str">
        <f t="shared" ref="AI217" ca="1" si="43">INDIRECT(ADDRESS(ROW()+N_Offset_M,COLUMN(I217)+(N_SpracheAuswahl)*26,,,"Text"))</f>
        <v>Siehe Hinweis in Zeile</v>
      </c>
      <c r="AJ217" s="55">
        <f>ROW(A$331)</f>
        <v>331</v>
      </c>
    </row>
    <row r="218" spans="1:36" ht="27" customHeight="1" x14ac:dyDescent="0.25">
      <c r="A218" s="882" t="str">
        <f t="shared" ca="1" si="41"/>
        <v/>
      </c>
      <c r="B218" s="882"/>
      <c r="C218" s="882"/>
      <c r="D218" s="882"/>
      <c r="E218" s="973" t="str">
        <f t="shared" ca="1" si="42"/>
        <v/>
      </c>
      <c r="F218" s="974"/>
      <c r="G218" s="910"/>
      <c r="H218" s="911"/>
      <c r="I218" s="912"/>
      <c r="O218" s="288">
        <f ca="1">IF(AND(I214&gt;0,OR(S216=5,S216=6)),1*NOT(AA218=0),0)</f>
        <v>0</v>
      </c>
      <c r="P218" s="56"/>
      <c r="AA218" s="55" t="str">
        <f t="shared" ca="1" si="39"/>
        <v>Ausgelöst durch früheres Ereignis?</v>
      </c>
      <c r="AE218" s="55" t="str">
        <f t="shared" ca="1" si="40"/>
        <v>Auswahl in Spalte G-I</v>
      </c>
    </row>
    <row r="219" spans="1:36" x14ac:dyDescent="0.25">
      <c r="A219" s="906" t="str">
        <f t="shared" si="41"/>
        <v/>
      </c>
      <c r="B219" s="906"/>
      <c r="C219" s="906"/>
      <c r="D219" s="906"/>
      <c r="E219" s="970" t="str">
        <f t="shared" si="42"/>
        <v/>
      </c>
      <c r="F219" s="971"/>
      <c r="G219" s="57"/>
      <c r="H219" s="57"/>
      <c r="I219" s="187"/>
      <c r="O219" s="288">
        <f>IF(I214&gt;0,1*NOT(AA219=0),0)</f>
        <v>0</v>
      </c>
      <c r="P219" s="56"/>
      <c r="AA219" s="55" t="str">
        <f t="shared" ca="1" si="39"/>
        <v>Arbeitsunfähigkeit, Ausmass</v>
      </c>
      <c r="AE219" s="55" t="str">
        <f t="shared" ca="1" si="40"/>
        <v>% gemäss Arztzeugnis</v>
      </c>
    </row>
    <row r="220" spans="1:36" ht="27" customHeight="1" x14ac:dyDescent="0.25">
      <c r="A220" s="862" t="str">
        <f t="shared" si="41"/>
        <v/>
      </c>
      <c r="B220" s="862"/>
      <c r="C220" s="862"/>
      <c r="D220" s="862"/>
      <c r="E220" s="913" t="str">
        <f>IF(O220&gt;0,AE220,"")</f>
        <v/>
      </c>
      <c r="F220" s="885"/>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9"/>
        <v>Rückerstattung KTG durch Versicherung ab</v>
      </c>
      <c r="AE220" s="55" t="str">
        <f t="shared" ca="1" si="40"/>
        <v>Datum erster Tag</v>
      </c>
      <c r="AG220" s="55" t="str">
        <f ca="1">INDIRECT(ADDRESS(ROW()+N_Offset_M,COLUMN(G220)+(N_SpracheAuswahl)*26,,,"Text"))</f>
        <v>(Wartefrist</v>
      </c>
    </row>
    <row r="221" spans="1:36" ht="27" customHeight="1" x14ac:dyDescent="0.25">
      <c r="A221" s="862" t="str">
        <f t="shared" si="41"/>
        <v/>
      </c>
      <c r="B221" s="862"/>
      <c r="C221" s="862"/>
      <c r="D221" s="862"/>
      <c r="E221" s="916" t="str">
        <f t="shared" si="42"/>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9"/>
        <v>KTG-Versicherung läuft aus am (=Ende Lohnfortzahlung)</v>
      </c>
      <c r="AE221" s="55" t="str">
        <f t="shared" ca="1" si="40"/>
        <v>Datum letzter Tag (offen lassen wenn nicht in diesem Monat)</v>
      </c>
      <c r="AG221" s="55" t="str">
        <f ca="1">INDIRECT(ADDRESS(ROW()+N_Offset_M,COLUMN(G221)+(N_SpracheAuswahl)*26,,,"Text"))</f>
        <v>(Dauer</v>
      </c>
    </row>
    <row r="222" spans="1:36" x14ac:dyDescent="0.25">
      <c r="A222" s="862" t="str">
        <f t="shared" ref="A222" si="44">IF(O222=0,"",IF(O222=1,AA222,P222))</f>
        <v/>
      </c>
      <c r="B222" s="862"/>
      <c r="C222" s="862"/>
      <c r="D222" s="862"/>
      <c r="E222" s="73" t="str">
        <f t="shared" si="42"/>
        <v/>
      </c>
      <c r="F222" s="823"/>
      <c r="G222" s="148"/>
      <c r="H222" s="148"/>
      <c r="I222" s="824"/>
      <c r="O222" s="288">
        <f>IF(I214&gt;0,1*NOT(AA222=0),0)</f>
        <v>0</v>
      </c>
      <c r="P222" s="56"/>
      <c r="AA222" s="55" t="str">
        <f t="shared" ca="1" si="39"/>
        <v>Nächte</v>
      </c>
      <c r="AE222" s="55" t="str">
        <f t="shared" ca="1" si="40"/>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5">INDIRECT(ADDRESS(ROW()+N_Offset_M,COLUMN(A224)+(N_SpracheAuswahl)*26,,,"Text"))</f>
        <v>Abwesenheit Beginn</v>
      </c>
      <c r="AE224" s="55" t="str">
        <f t="shared" ref="AE224:AE231" ca="1" si="46">INDIRECT(ADDRESS(ROW()+N_Offset_M,COLUMN(E224)+(N_SpracheAuswahl)*26,,,"Text"))</f>
        <v>Datum erster Tag</v>
      </c>
    </row>
    <row r="225" spans="1:36" x14ac:dyDescent="0.25">
      <c r="A225" s="906" t="str">
        <f t="shared" ref="A225:A231" si="47">IF(O225=0,"",IF(O225=1,AA225,P225))</f>
        <v/>
      </c>
      <c r="B225" s="906"/>
      <c r="C225" s="906"/>
      <c r="D225" s="906"/>
      <c r="E225" s="92" t="str">
        <f t="shared" ref="E225:E229" si="48">IF(O225&gt;0,AE225,"")</f>
        <v/>
      </c>
      <c r="F225" s="308"/>
      <c r="G225" s="57"/>
      <c r="H225" s="57"/>
      <c r="I225" s="185"/>
      <c r="O225" s="288">
        <f>IF(AND(I$214&gt;0,I$215&gt;0),1*NOT(AA225=0),0)</f>
        <v>0</v>
      </c>
      <c r="P225" s="56"/>
      <c r="AA225" s="55" t="str">
        <f t="shared" ca="1" si="45"/>
        <v>Abwesenheit Ende</v>
      </c>
      <c r="AE225" s="55" t="str">
        <f t="shared" ca="1" si="46"/>
        <v>Datum letzter Tag (in diesem Monat)</v>
      </c>
    </row>
    <row r="226" spans="1:36" ht="27" customHeight="1" x14ac:dyDescent="0.25">
      <c r="A226" s="906" t="str">
        <f ca="1">IF(O226=0,"",IF(O226=1,AA226,P226))</f>
        <v>weiter in Zeile  244</v>
      </c>
      <c r="B226" s="906"/>
      <c r="C226" s="906"/>
      <c r="D226" s="906"/>
      <c r="E226" s="968" t="str">
        <f>IF(O226&gt;0,AE226,"")</f>
        <v/>
      </c>
      <c r="F226" s="969"/>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5"/>
        <v>Grund für Abwesenheit</v>
      </c>
      <c r="AE226" s="55" t="str">
        <f t="shared" ca="1" si="46"/>
        <v>Auswahl in Spalte G-I</v>
      </c>
    </row>
    <row r="227" spans="1:36" ht="25.2" customHeight="1" x14ac:dyDescent="0.25">
      <c r="A227" s="914" t="str">
        <f ca="1">IF(O227=0,"",IF(O227=1,AA227,IF(O227=2,AI227&amp;" "&amp;AJ227,P227)))</f>
        <v/>
      </c>
      <c r="B227" s="914"/>
      <c r="C227" s="914"/>
      <c r="D227" s="914"/>
      <c r="E227" s="650" t="str">
        <f t="shared" ca="1" si="48"/>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5"/>
        <v>Art des Unfalls</v>
      </c>
      <c r="AE227" s="55" t="str">
        <f t="shared" ca="1" si="46"/>
        <v>Auswahl in Spalte G-I</v>
      </c>
      <c r="AI227" s="55" t="str">
        <f t="shared" ref="AI227" ca="1" si="49">INDIRECT(ADDRESS(ROW()+N_Offset_M,COLUMN(I227)+(N_SpracheAuswahl)*26,,,"Text"))</f>
        <v>Siehe Hinweis in Zeile</v>
      </c>
      <c r="AJ227" s="55">
        <f>ROW(A$331)</f>
        <v>331</v>
      </c>
    </row>
    <row r="228" spans="1:36" ht="27" customHeight="1" x14ac:dyDescent="0.25">
      <c r="A228" s="882" t="str">
        <f t="shared" ca="1" si="47"/>
        <v/>
      </c>
      <c r="B228" s="882"/>
      <c r="C228" s="882"/>
      <c r="D228" s="882"/>
      <c r="E228" s="973" t="str">
        <f t="shared" ca="1" si="48"/>
        <v/>
      </c>
      <c r="F228" s="974"/>
      <c r="G228" s="910"/>
      <c r="H228" s="911"/>
      <c r="I228" s="912"/>
      <c r="O228" s="288">
        <f ca="1">IF(AND(I224&gt;0,OR(S226=5,S226=6)),1*NOT(AA228=0),0)</f>
        <v>0</v>
      </c>
      <c r="P228" s="56"/>
      <c r="AA228" s="55" t="str">
        <f t="shared" ca="1" si="45"/>
        <v>Ausgelöst durch früheres Ereignis?</v>
      </c>
      <c r="AE228" s="55" t="str">
        <f t="shared" ca="1" si="46"/>
        <v>Auswahl in Spalte G-I</v>
      </c>
    </row>
    <row r="229" spans="1:36" x14ac:dyDescent="0.25">
      <c r="A229" s="906" t="str">
        <f t="shared" si="47"/>
        <v/>
      </c>
      <c r="B229" s="906"/>
      <c r="C229" s="906"/>
      <c r="D229" s="906"/>
      <c r="E229" s="970" t="str">
        <f t="shared" si="48"/>
        <v/>
      </c>
      <c r="F229" s="971"/>
      <c r="G229" s="57"/>
      <c r="H229" s="57"/>
      <c r="I229" s="187"/>
      <c r="O229" s="288">
        <f>IF(I224&gt;0,1*NOT(AA229=0),0)</f>
        <v>0</v>
      </c>
      <c r="P229" s="56"/>
      <c r="AA229" s="55" t="str">
        <f t="shared" ca="1" si="45"/>
        <v>Arbeitsunfähigkeit, Ausmass</v>
      </c>
      <c r="AE229" s="55" t="str">
        <f t="shared" ca="1" si="46"/>
        <v>% gemäss Arztzeugnis</v>
      </c>
    </row>
    <row r="230" spans="1:36" ht="27" customHeight="1" x14ac:dyDescent="0.25">
      <c r="A230" s="862" t="str">
        <f t="shared" si="47"/>
        <v/>
      </c>
      <c r="B230" s="862"/>
      <c r="C230" s="862"/>
      <c r="D230" s="862"/>
      <c r="E230" s="913" t="str">
        <f>IF(O230&gt;0,AE230,"")</f>
        <v/>
      </c>
      <c r="F230" s="885"/>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5"/>
        <v>Rückerstattung KTG durch Versicherung ab</v>
      </c>
      <c r="AE230" s="55" t="str">
        <f t="shared" ca="1" si="46"/>
        <v>Datum erster Tag</v>
      </c>
      <c r="AG230" s="55" t="str">
        <f ca="1">INDIRECT(ADDRESS(ROW()+N_Offset_M,COLUMN(G230)+(N_SpracheAuswahl)*26,,,"Text"))</f>
        <v>(Wartefrist</v>
      </c>
    </row>
    <row r="231" spans="1:36" ht="27" customHeight="1" x14ac:dyDescent="0.25">
      <c r="A231" s="862" t="str">
        <f t="shared" si="47"/>
        <v/>
      </c>
      <c r="B231" s="862"/>
      <c r="C231" s="862"/>
      <c r="D231" s="862"/>
      <c r="E231" s="916" t="str">
        <f>IF(O231&gt;0,AE231,"")</f>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5"/>
        <v>KTG-Versicherung läuft aus am (=Ende Lohnfortzahlung)</v>
      </c>
      <c r="AE231" s="55" t="str">
        <f t="shared" ca="1" si="46"/>
        <v>Datum letzter Tag (offen lassen wenn nicht in diesem Monat)</v>
      </c>
      <c r="AG231" s="55" t="str">
        <f ca="1">INDIRECT(ADDRESS(ROW()+N_Offset_M,COLUMN(G231)+(N_SpracheAuswahl)*26,,,"Text"))</f>
        <v>(Dauer</v>
      </c>
    </row>
    <row r="232" spans="1:36" ht="13.2" customHeight="1" x14ac:dyDescent="0.25">
      <c r="A232" s="862" t="str">
        <f t="shared" ref="A232" si="50">IF(O232=0,"",IF(O232=1,AA232,P232))</f>
        <v/>
      </c>
      <c r="B232" s="862"/>
      <c r="C232" s="862"/>
      <c r="D232" s="862"/>
      <c r="E232" s="73" t="str">
        <f>IF(O232&gt;0,AE232,"")</f>
        <v/>
      </c>
      <c r="F232" s="67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51">INDIRECT(ADDRESS(ROW()+N_Offset_M,COLUMN(A234)+(N_SpracheAuswahl)*26,,,"Text"))</f>
        <v>Abwesenheit Beginn</v>
      </c>
      <c r="AE234" s="55" t="str">
        <f t="shared" ref="AE234:AE242" ca="1" si="52">INDIRECT(ADDRESS(ROW()+N_Offset_M,COLUMN(E234)+(N_SpracheAuswahl)*26,,,"Text"))</f>
        <v>Datum erster Tag</v>
      </c>
    </row>
    <row r="235" spans="1:36" x14ac:dyDescent="0.25">
      <c r="A235" s="906" t="str">
        <f t="shared" ref="A235:A242" si="53">IF(O235=0,"",IF(O235=1,AA235,P235))</f>
        <v/>
      </c>
      <c r="B235" s="906"/>
      <c r="C235" s="906"/>
      <c r="D235" s="906"/>
      <c r="E235" s="92" t="str">
        <f t="shared" ref="E235:E242" si="54">IF(O235&gt;0,AE235,"")</f>
        <v/>
      </c>
      <c r="F235" s="308"/>
      <c r="G235" s="57"/>
      <c r="H235" s="57"/>
      <c r="I235" s="185"/>
      <c r="O235" s="288">
        <f>IF(AND(I$224&gt;0,I$225&gt;0),1*NOT(AA235=0),0)</f>
        <v>0</v>
      </c>
      <c r="P235" s="56"/>
      <c r="AA235" s="55" t="str">
        <f t="shared" ca="1" si="51"/>
        <v>Abwesenheit Ende</v>
      </c>
      <c r="AE235" s="55" t="str">
        <f t="shared" ca="1" si="52"/>
        <v>Datum letzter Tag (in diesem Monat)</v>
      </c>
    </row>
    <row r="236" spans="1:36" ht="27" customHeight="1" x14ac:dyDescent="0.25">
      <c r="A236" s="908" t="str">
        <f t="shared" si="53"/>
        <v/>
      </c>
      <c r="B236" s="908"/>
      <c r="C236" s="908"/>
      <c r="D236" s="908"/>
      <c r="E236" s="968" t="str">
        <f>IF(O236&gt;0,AE236,"")</f>
        <v/>
      </c>
      <c r="F236" s="969"/>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51"/>
        <v>Grund für Abwesenheit</v>
      </c>
      <c r="AE236" s="55" t="str">
        <f t="shared" ca="1" si="52"/>
        <v>Auswahl in Spalte G-I</v>
      </c>
    </row>
    <row r="237" spans="1:36" ht="25.2" customHeight="1" x14ac:dyDescent="0.25">
      <c r="A237" s="920" t="str">
        <f ca="1">IF(O237=0,"",IF(O237=1,AA237,IF(O237=2,AI237&amp;" "&amp;AJ237,P237)))</f>
        <v/>
      </c>
      <c r="B237" s="920"/>
      <c r="C237" s="920"/>
      <c r="D237" s="920"/>
      <c r="E237" s="650" t="str">
        <f t="shared" ca="1" si="54"/>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51"/>
        <v>Art des Unfalls</v>
      </c>
      <c r="AE237" s="55" t="str">
        <f t="shared" ca="1" si="52"/>
        <v>Auswahl in Spalte G-I</v>
      </c>
      <c r="AI237" s="55" t="str">
        <f t="shared" ref="AI237" ca="1" si="55">INDIRECT(ADDRESS(ROW()+N_Offset_M,COLUMN(I237)+(N_SpracheAuswahl)*26,,,"Text"))</f>
        <v>Siehe Hinweis in Zeile</v>
      </c>
      <c r="AJ237" s="55">
        <f>ROW(A$331)</f>
        <v>331</v>
      </c>
    </row>
    <row r="238" spans="1:36" ht="27" customHeight="1" x14ac:dyDescent="0.25">
      <c r="A238" s="882" t="str">
        <f t="shared" ca="1" si="53"/>
        <v/>
      </c>
      <c r="B238" s="882"/>
      <c r="C238" s="882"/>
      <c r="D238" s="882"/>
      <c r="E238" s="973" t="str">
        <f t="shared" ca="1" si="54"/>
        <v/>
      </c>
      <c r="F238" s="974"/>
      <c r="G238" s="910"/>
      <c r="H238" s="911"/>
      <c r="I238" s="912"/>
      <c r="O238" s="288">
        <f ca="1">IF(AND(I234&gt;0,OR(S236=5,S236=6)),1*NOT(AA238=0),0)</f>
        <v>0</v>
      </c>
      <c r="P238" s="56"/>
      <c r="AA238" s="55" t="str">
        <f t="shared" ca="1" si="51"/>
        <v>Ausgelöst durch früheres Ereignis?</v>
      </c>
      <c r="AE238" s="55" t="str">
        <f t="shared" ca="1" si="52"/>
        <v>Auswahl in Spalte G-I</v>
      </c>
    </row>
    <row r="239" spans="1:36" x14ac:dyDescent="0.25">
      <c r="A239" s="906" t="str">
        <f t="shared" si="53"/>
        <v/>
      </c>
      <c r="B239" s="906"/>
      <c r="C239" s="906"/>
      <c r="D239" s="906"/>
      <c r="E239" s="970" t="str">
        <f t="shared" si="54"/>
        <v/>
      </c>
      <c r="F239" s="971"/>
      <c r="G239" s="57"/>
      <c r="H239" s="57"/>
      <c r="I239" s="187"/>
      <c r="O239" s="288">
        <f>IF(I234&gt;0,1*NOT(AA239=0),0)</f>
        <v>0</v>
      </c>
      <c r="P239" s="56"/>
      <c r="AA239" s="55" t="str">
        <f t="shared" ca="1" si="51"/>
        <v>Arbeitsunfähigkeit, Ausmass</v>
      </c>
      <c r="AE239" s="55" t="str">
        <f t="shared" ca="1" si="52"/>
        <v>% gemäss Arztzeugnis</v>
      </c>
    </row>
    <row r="240" spans="1:36" ht="27" customHeight="1" x14ac:dyDescent="0.25">
      <c r="A240" s="862" t="str">
        <f t="shared" si="53"/>
        <v/>
      </c>
      <c r="B240" s="862"/>
      <c r="C240" s="862"/>
      <c r="D240" s="862"/>
      <c r="E240" s="913" t="str">
        <f>IF(O240&gt;0,AE240,"")</f>
        <v/>
      </c>
      <c r="F240" s="885"/>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51"/>
        <v>Rückerstattung KTG durch Versicherung ab</v>
      </c>
      <c r="AE240" s="55" t="str">
        <f t="shared" ca="1" si="52"/>
        <v>Datum erster Tag</v>
      </c>
      <c r="AG240" s="55" t="str">
        <f ca="1">INDIRECT(ADDRESS(ROW()+N_Offset_M,COLUMN(G240)+(N_SpracheAuswahl)*26,,,"Text"))</f>
        <v>(Wartefrist</v>
      </c>
    </row>
    <row r="241" spans="1:108" ht="27" customHeight="1" x14ac:dyDescent="0.25">
      <c r="A241" s="862" t="str">
        <f t="shared" si="53"/>
        <v/>
      </c>
      <c r="B241" s="862"/>
      <c r="C241" s="862"/>
      <c r="D241" s="862"/>
      <c r="E241" s="916" t="str">
        <f t="shared" si="54"/>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51"/>
        <v>KTG-Versicherung läuft aus am (=Ende Lohnfortzahlung)</v>
      </c>
      <c r="AE241" s="55" t="str">
        <f t="shared" ca="1" si="52"/>
        <v>Datum letzter Tag (offen lassen wenn nicht in diesem Monat)</v>
      </c>
      <c r="AG241" s="55" t="str">
        <f ca="1">INDIRECT(ADDRESS(ROW()+N_Offset_M,COLUMN(G241)+(N_SpracheAuswahl)*26,,,"Text"))</f>
        <v>(Dauer</v>
      </c>
    </row>
    <row r="242" spans="1:108" x14ac:dyDescent="0.25">
      <c r="A242" s="964" t="str">
        <f t="shared" si="53"/>
        <v/>
      </c>
      <c r="B242" s="964"/>
      <c r="C242" s="964"/>
      <c r="D242" s="964"/>
      <c r="E242" s="965" t="str">
        <f t="shared" si="54"/>
        <v/>
      </c>
      <c r="F242" s="966"/>
      <c r="G242" s="730"/>
      <c r="H242" s="825"/>
      <c r="I242" s="820"/>
      <c r="O242" s="288">
        <f>IF(I234&gt;0,1*NOT(AA242=0),0)</f>
        <v>0</v>
      </c>
      <c r="P242" s="56"/>
      <c r="AA242" s="84" t="str">
        <f t="shared" ca="1" si="51"/>
        <v>Nächte</v>
      </c>
      <c r="AE242" s="55" t="str">
        <f t="shared" ca="1" si="52"/>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51"/>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6">1*NOT(AA244=0)</f>
        <v>1</v>
      </c>
      <c r="P244" s="56"/>
      <c r="AA244" s="55" t="str">
        <f t="shared" ref="AA244:AA248" ca="1" si="57">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6"/>
        <v>1</v>
      </c>
      <c r="P245" s="56"/>
      <c r="AA245" s="55" t="str">
        <f t="shared" ca="1" si="57"/>
        <v>(behinderte Person kann Leistung nicht entgegennehmen) (Art. 324 OR)</v>
      </c>
    </row>
    <row r="246" spans="1:108" x14ac:dyDescent="0.25">
      <c r="A246" s="909" t="str">
        <f t="shared" ref="A246:A254" ca="1" si="58">IF(O246=0,"",IF(O246=1,AA246,P246))</f>
        <v>Verhinderung, Beginn</v>
      </c>
      <c r="B246" s="909"/>
      <c r="C246" s="909"/>
      <c r="D246" s="909"/>
      <c r="E246" s="970" t="str">
        <f t="shared" ref="E246:E254" ca="1" si="59">IF(O246&gt;0,AE246,"")</f>
        <v>Datum erster Tag</v>
      </c>
      <c r="F246" s="975"/>
      <c r="G246" s="975"/>
      <c r="H246" s="976"/>
      <c r="I246" s="185"/>
      <c r="J246" s="63"/>
      <c r="K246" s="63"/>
      <c r="L246" s="63"/>
      <c r="O246" s="288">
        <f t="shared" ca="1" si="56"/>
        <v>1</v>
      </c>
      <c r="P246" s="56"/>
      <c r="AA246" s="55" t="str">
        <f t="shared" ca="1" si="57"/>
        <v>Verhinderung, Beginn</v>
      </c>
      <c r="AE246" s="55" t="str">
        <f ca="1">INDIRECT(ADDRESS(ROW()+N_Offset_M,COLUMN(E246)+(N_SpracheAuswahl)*26,,,"Text"))</f>
        <v>Datum erster Tag</v>
      </c>
    </row>
    <row r="247" spans="1:108" x14ac:dyDescent="0.25">
      <c r="A247" s="909" t="str">
        <f t="shared" ca="1" si="58"/>
        <v>Verhinderung Ende</v>
      </c>
      <c r="B247" s="909"/>
      <c r="C247" s="909"/>
      <c r="D247" s="909"/>
      <c r="E247" s="970" t="str">
        <f t="shared" ca="1" si="59"/>
        <v>Datum letzter Tag</v>
      </c>
      <c r="F247" s="975"/>
      <c r="G247" s="975"/>
      <c r="H247" s="976"/>
      <c r="I247" s="185"/>
      <c r="J247" s="63"/>
      <c r="K247" s="63"/>
      <c r="L247" s="63"/>
      <c r="O247" s="288">
        <f t="shared" ca="1" si="56"/>
        <v>1</v>
      </c>
      <c r="P247" s="56"/>
      <c r="AA247" s="55" t="str">
        <f t="shared" ca="1" si="57"/>
        <v>Verhinderung Ende</v>
      </c>
      <c r="AE247" s="55" t="str">
        <f ca="1">INDIRECT(ADDRESS(ROW()+N_Offset_M,COLUMN(E247)+(N_SpracheAuswahl)*26,,,"Text"))</f>
        <v>Datum letzter Tag</v>
      </c>
    </row>
    <row r="248" spans="1:108" x14ac:dyDescent="0.25">
      <c r="A248" s="909" t="str">
        <f t="shared" ca="1" si="58"/>
        <v>Nächte</v>
      </c>
      <c r="B248" s="909"/>
      <c r="C248" s="909"/>
      <c r="D248" s="909"/>
      <c r="E248" s="970" t="str">
        <f t="shared" ca="1" si="59"/>
        <v>Anzahl</v>
      </c>
      <c r="F248" s="971"/>
      <c r="G248" s="971"/>
      <c r="H248" s="971"/>
      <c r="I248" s="820"/>
      <c r="J248" s="63"/>
      <c r="K248" s="63"/>
      <c r="L248" s="63"/>
      <c r="O248" s="288">
        <f t="shared" ca="1" si="56"/>
        <v>1</v>
      </c>
      <c r="P248" s="56"/>
      <c r="AA248" s="55" t="str">
        <f t="shared" ca="1" si="57"/>
        <v>Nächte</v>
      </c>
      <c r="AE248" s="55" t="str">
        <f ca="1">INDIRECT(ADDRESS(ROW()+N_Offset_M,COLUMN(E248)+(N_SpracheAuswahl)*26,,,"Text"))</f>
        <v>Anzahl</v>
      </c>
    </row>
    <row r="249" spans="1:108" x14ac:dyDescent="0.25">
      <c r="A249" s="909" t="str">
        <f t="shared" si="58"/>
        <v/>
      </c>
      <c r="B249" s="909"/>
      <c r="C249" s="909"/>
      <c r="D249" s="909"/>
      <c r="E249" s="970" t="str">
        <f t="shared" si="59"/>
        <v/>
      </c>
      <c r="F249" s="975"/>
      <c r="G249" s="975"/>
      <c r="H249" s="976"/>
      <c r="I249" s="821"/>
      <c r="J249" s="63"/>
      <c r="K249" s="63"/>
      <c r="L249" s="63"/>
      <c r="O249" s="288"/>
      <c r="P249" s="382"/>
      <c r="DB249" s="87"/>
      <c r="DC249" s="87"/>
      <c r="DD249" s="87"/>
    </row>
    <row r="250" spans="1:108" x14ac:dyDescent="0.25">
      <c r="A250" s="909" t="str">
        <f t="shared" si="58"/>
        <v/>
      </c>
      <c r="B250" s="909"/>
      <c r="C250" s="909"/>
      <c r="D250" s="909"/>
      <c r="E250" s="970" t="str">
        <f t="shared" si="59"/>
        <v/>
      </c>
      <c r="F250" s="975"/>
      <c r="G250" s="975"/>
      <c r="H250" s="976"/>
      <c r="I250" s="185"/>
      <c r="J250" s="63"/>
      <c r="K250" s="63"/>
      <c r="L250" s="63"/>
      <c r="O250" s="288"/>
      <c r="P250" s="56"/>
      <c r="BN250" s="87"/>
    </row>
    <row r="251" spans="1:108" x14ac:dyDescent="0.25">
      <c r="A251" s="909" t="str">
        <f t="shared" si="58"/>
        <v/>
      </c>
      <c r="B251" s="909"/>
      <c r="C251" s="909"/>
      <c r="D251" s="909"/>
      <c r="E251" s="909" t="str">
        <f t="shared" si="59"/>
        <v/>
      </c>
      <c r="F251" s="971"/>
      <c r="G251" s="971"/>
      <c r="H251" s="971"/>
      <c r="I251" s="69"/>
      <c r="J251" s="63"/>
      <c r="K251" s="63"/>
      <c r="L251" s="63"/>
      <c r="O251" s="288"/>
      <c r="P251" s="56"/>
    </row>
    <row r="252" spans="1:108" x14ac:dyDescent="0.25">
      <c r="A252" s="909" t="str">
        <f t="shared" si="58"/>
        <v/>
      </c>
      <c r="B252" s="909"/>
      <c r="C252" s="909"/>
      <c r="D252" s="909"/>
      <c r="E252" s="970" t="str">
        <f t="shared" si="59"/>
        <v/>
      </c>
      <c r="F252" s="975"/>
      <c r="G252" s="975"/>
      <c r="H252" s="976"/>
      <c r="I252" s="185"/>
      <c r="O252" s="288"/>
      <c r="P252" s="382"/>
    </row>
    <row r="253" spans="1:108" x14ac:dyDescent="0.25">
      <c r="A253" s="909" t="str">
        <f t="shared" si="58"/>
        <v/>
      </c>
      <c r="B253" s="909"/>
      <c r="C253" s="909"/>
      <c r="D253" s="909"/>
      <c r="E253" s="970" t="str">
        <f t="shared" si="59"/>
        <v/>
      </c>
      <c r="F253" s="975"/>
      <c r="G253" s="975"/>
      <c r="H253" s="976"/>
      <c r="I253" s="185"/>
      <c r="O253" s="288"/>
      <c r="P253" s="56"/>
    </row>
    <row r="254" spans="1:108" x14ac:dyDescent="0.25">
      <c r="A254" s="55" t="str">
        <f t="shared" si="58"/>
        <v/>
      </c>
      <c r="E254" s="55" t="str">
        <f t="shared" si="59"/>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45323</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0.100000000000001" customHeight="1" x14ac:dyDescent="0.25">
      <c r="B261" s="980" t="str">
        <f ca="1">INDIRECT(ADDRESS(ROW()+N_Offset_M,COLUMN()+(N_SpracheAuswahl)*26,,,"Text"))</f>
        <v>blau = Ferien, gelbbraun = 100% Arbeitsunfähigkeit, grau = ausserhalb Anstellungsdauer</v>
      </c>
      <c r="C261" s="981"/>
      <c r="D261" s="981"/>
      <c r="E261" s="981"/>
      <c r="F261" s="981"/>
      <c r="G261" s="981"/>
      <c r="H261" s="981"/>
      <c r="I261" s="981"/>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s">
        <v>526</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60">INDIRECT(ADDRESS(ROW()+N_Offset_M,COLUMN()+(N_SpracheAuswahl)*26,,,"Text"))</f>
        <v>geleistete Stunden mit Qualifikation B</v>
      </c>
      <c r="D262" s="459" t="str">
        <f t="shared" ca="1" si="60"/>
        <v>geleistete Nächte (jeweils 1 eintragen)</v>
      </c>
      <c r="E262" s="897" t="str">
        <f t="shared" ca="1" si="60"/>
        <v>Bemerkungen</v>
      </c>
      <c r="F262" s="977">
        <f t="shared" ca="1" si="60"/>
        <v>0</v>
      </c>
      <c r="G262" s="668" t="str">
        <f t="shared" ca="1" si="60"/>
        <v>angerechnete Stunden mit Lohnfortzahlung</v>
      </c>
      <c r="H262" s="668" t="str">
        <f t="shared" ca="1" si="60"/>
        <v>angerechnete Stunden ohne Lohnfortzahlung</v>
      </c>
      <c r="I262" s="668" t="str">
        <f t="shared" ca="1" si="60"/>
        <v>Anspruch auf Rückvergütung durch AB-IV (falls nicht versichert)</v>
      </c>
      <c r="J262"/>
      <c r="K262"/>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3.75"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978"/>
      <c r="F263" s="979"/>
      <c r="G263" s="788"/>
      <c r="H263" s="670"/>
      <c r="I263" s="40"/>
      <c r="J263"/>
      <c r="K263"/>
      <c r="P263" s="151"/>
      <c r="U263" s="222"/>
      <c r="AE263" s="223"/>
      <c r="AF263" s="39"/>
      <c r="AH263" s="222" t="s">
        <v>636</v>
      </c>
      <c r="AI263" s="152"/>
      <c r="AJ263" s="137"/>
      <c r="AK263" s="233">
        <f ca="1">' 01 '!AK295</f>
        <v>0</v>
      </c>
      <c r="AL263" s="137"/>
      <c r="AN263" s="137">
        <f>IF(N_Kündigungsfrist_Beginn=AH264,0,1)</f>
        <v>1</v>
      </c>
      <c r="AO263" s="55"/>
      <c r="AP263" s="233">
        <f ca="1">' 01 '!AP295</f>
        <v>0</v>
      </c>
      <c r="AR263" s="234">
        <f ca="1">' 01 '!AR295</f>
        <v>0</v>
      </c>
      <c r="AT263" s="355">
        <f ca="1">' 01 '!AT295+N318</f>
        <v>28</v>
      </c>
      <c r="AV263" s="246">
        <f ca="1">' 01 '!AV295</f>
        <v>0</v>
      </c>
      <c r="AW263" s="245"/>
      <c r="AY263" s="239"/>
      <c r="BA263" s="222"/>
      <c r="BB263" s="249">
        <f ca="1">' 01 '!BB295</f>
        <v>0</v>
      </c>
      <c r="BC263" s="245"/>
      <c r="BE263" s="252">
        <f ca="1">' 01 '!BE295</f>
        <v>0</v>
      </c>
      <c r="BG263" s="252">
        <f ca="1">' 01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45323</v>
      </c>
      <c r="B264" s="154"/>
      <c r="C264" s="154"/>
      <c r="D264" s="154"/>
      <c r="E264" s="875" t="str">
        <f t="shared" ref="E264:E294" ca="1" si="61">IF(AE264=0,"",OFFSET(A_ArbeitsunfähigkeitGrund_Auswahl,(N_Sprache-1)*10+(AE264-1),0,1,1))</f>
        <v/>
      </c>
      <c r="F264" s="876"/>
      <c r="G264" s="667">
        <f ca="1">MAX(0,(N_ArbeitsstundenSollProKT*BU264-BV264)*OFFSET(BI264,0,AE264,1,1))</f>
        <v>0</v>
      </c>
      <c r="H264" s="667">
        <f t="shared" ref="H264:H294" ca="1" si="62">MAX(0,(N_ArbeitsstundenSollProKT*BU264-BV264)*(AE264&gt;2)*NOT(OFFSET(BI264,0,AE264,1,1)))</f>
        <v>0</v>
      </c>
      <c r="I264" s="667">
        <f t="shared" ref="I264:I294" ca="1" si="63">G264*OFFSET(CO264,0,AE264,1,1)</f>
        <v>0</v>
      </c>
      <c r="J264"/>
      <c r="K264"/>
      <c r="P264" s="151">
        <f t="shared" ref="P264:P294" si="64">IF(A264&lt;DATE(YEAR(A264),MONTH(N_Anstellung_Beginn),DAY(N_Anstellung_Beginn)),(YEAR(A264)-YEAR(N_Anstellung_Beginn)),(YEAR(A264)-YEAR(N_Anstellung_Beginn))+1)</f>
        <v>125</v>
      </c>
      <c r="R264" s="55">
        <f t="shared" ref="R264:R294" si="65">IF(A264&gt;=(P$1+P$2),1,0)</f>
        <v>0</v>
      </c>
      <c r="S264" s="55">
        <f t="shared" ref="S264:S294" si="66">1-R264</f>
        <v>1</v>
      </c>
      <c r="U264" s="226">
        <f t="shared" ref="U264" si="67">(R264=0)*IF(A264&lt;N_Anstellung_Beginn,1,0)</f>
        <v>0</v>
      </c>
      <c r="V264" s="137">
        <f t="shared" ref="V264" ca="1" si="68">(R264=0)*IF(A264&gt;N_Anstellung_Ende,1,0)</f>
        <v>0</v>
      </c>
      <c r="W264" s="137">
        <f t="shared" ref="W264" si="69">(R264=0)*IF(OR(AND(A264&gt;=$I$203,A264&lt;=$I$204),AND(A264&gt;=$I$206,A264&lt;=$I$207),AND(A264&gt;=$I$209,A264&lt;=$I$210)),1,0)</f>
        <v>0</v>
      </c>
      <c r="X264" s="137">
        <f t="shared" ref="X264" si="70">(R264=0)*IF(OR(AND(A264&gt;=$I$246,A264&lt;=$I$247),AND(A264&gt;=$I$249,A264&lt;=$I$250),AND(A264&gt;=$I$252,A264&lt;=$I$253)),1,0)</f>
        <v>0</v>
      </c>
      <c r="Y264" s="137">
        <f t="shared" ref="Y264:Y294" ca="1" si="71">(R264=0)*IF(OR(AND($A264&gt;=$I$214,$A264&lt;=$I$215,S$216=5),AND($A264&gt;=$I$224,$A264&lt;=$I$225,S$226=5),AND($A264&gt;=$I$234,$A264&lt;=$I$235,S$236=5)),1,0)</f>
        <v>0</v>
      </c>
      <c r="Z264" s="137">
        <f t="shared" ref="Z264:Z294" ca="1" si="72">(R264=0)*IF(OR(AND($A264&gt;=$I$214,$A264&lt;=$I$215,(S$216=6)*NOT(S$217)),AND($A264&gt;=$I$224,$A264&lt;=$I$225,(S$226=6)*NOT(S$227)),AND($A264&gt;=$I$234,$A264&lt;=$I$235,(S$236=6)*NOT(S$237))),1,0)</f>
        <v>0</v>
      </c>
      <c r="AA264" s="137">
        <f t="shared" ref="AA264:AA294" ca="1" si="73">(R264=0)*IF(OR(AND($A264&gt;=$I$214,$A264&lt;=$I$215,S$216=7),AND($A264&gt;=$I$224,$A264&lt;=$I$225,S$226=7),AND($A264&gt;=$I$234,$A264&lt;=$I$235,S$236=7)),1,0)</f>
        <v>0</v>
      </c>
      <c r="AB264" s="137">
        <f t="shared" ref="AB264:AB294" ca="1" si="74">(R264=0)*IF(OR(AND($A264&gt;=$I$214,$A264&lt;=$I$215,S$216=8),AND($A264&gt;=$I$224,$A264&lt;=$I$225,S$226=8),AND($A264&gt;=$I$234,$A264&lt;=$I$235,S$236=8)),1,0)</f>
        <v>0</v>
      </c>
      <c r="AC264" s="137">
        <f t="shared" ref="AC264:AC294" ca="1" si="75">(R264=0)*IF(OR(AND($A264&gt;=$I$214,$A264&lt;=$I$215,S$216=9),AND($A264&gt;=$I$224,$A264&lt;=$I$225,S$226=9),AND($A264&gt;=$I$234,$A264&lt;=$I$235,S$236=9)),1,0)</f>
        <v>0</v>
      </c>
      <c r="AD264" s="137">
        <f t="shared" ref="AD264:AD294" ca="1" si="76">(R264=0)*IF(OR(AND($A264&gt;=$I$214,$A264&lt;=$I$215,(S$216=6)*S$217),AND($A264&gt;=$I$224,$A264&lt;=$I$225,(S$226=6)*S$227),AND($A264&gt;=$I$234,$A264&lt;=$I$235,(S$236=6)*S$237)),1,0)</f>
        <v>0</v>
      </c>
      <c r="AE264" s="223">
        <f t="shared" ref="AE264" ca="1" si="77">IF(SUM(U264:V264)&gt;0,(U264*U$260+V264*V$260),IF(W264&gt;0,W264*W$260,IF(SUM(Y264:AD264)&gt;0,(Y264*Y$260+Z264*Z$260+AA264*AA$260+AB264*AB$260+AC264*AC$260+AD264*AD$260),IF(X264&gt;0,X264*X$260,0))))</f>
        <v>0</v>
      </c>
      <c r="AF264" s="229" t="str">
        <f t="shared" ref="AF264:AF294" ca="1" si="78">IF(AE264=0,"",OFFSET(A_ArbeitsunfähigkeitGrund_Auswahl,(N_Sprache-1)*10+(AE264-1),0,1,1))</f>
        <v/>
      </c>
      <c r="AH264" s="235">
        <f t="shared" ref="AH264:AH294" si="79">A264</f>
        <v>45323</v>
      </c>
      <c r="AI264" s="137">
        <f t="shared" ref="AI264:AI294" ca="1" si="80">IF((Y264+Z264)&gt;0,1,0)</f>
        <v>0</v>
      </c>
      <c r="AJ264" s="137">
        <f t="shared" ref="AJ264:AJ294" si="81">IF(AH264&lt;DATE(YEAR(N_Anstellung_Beginn),MONTH(N_Anstellung_Beginn)+N_Probezeit_Dauer_Mt,DAY(N_Anstellung_Beginn)),1,0)</f>
        <v>0</v>
      </c>
      <c r="AK264" s="137">
        <f t="shared" ref="AK264:AK294" ca="1" si="82">IF(R264=1,AK263,MAX(0,AK263+AJ264*AI264-IF(AND(AJ264=0,AJ263=0),1,0)))</f>
        <v>0</v>
      </c>
      <c r="AL264" s="137">
        <f t="shared" ref="AL264:AL294" ca="1" si="83">IF(AJ264=1,1,IF(AK264&gt;0,1,0))</f>
        <v>0</v>
      </c>
      <c r="AM264" s="137">
        <f t="shared" ref="AM264:AM294" si="84">(R264=0)*IF(AH264&gt;=N_Kündigungsfrist_Beginn,1,0)</f>
        <v>0</v>
      </c>
      <c r="AN264" s="137">
        <f t="shared" ref="AN264:AN294" ca="1" si="85">IF(AND(AL264=0,AM264=1,N_GekündigtVon_Auswahl=1),1,0)</f>
        <v>0</v>
      </c>
      <c r="AO264" s="137">
        <f t="shared" ref="AO264:AO294" ca="1" si="86">IF(OR(AN264-AN263=1,AN264*IF(VLOOKUP(AQ264,A_Rückfall_Auswahl,2,0)=1,1,0)=1),VLOOKUP(P264,A_Sperrfrist,2,1),0)</f>
        <v>0</v>
      </c>
      <c r="AP264" s="137">
        <f t="shared" ref="AP264:AP294" ca="1" si="87">IF(R264=1,AP263,MAX(0,IF(AN264=0,0,IF(AO264&gt;0,AO264-1,AP263-1))))</f>
        <v>0</v>
      </c>
      <c r="AQ264" s="137">
        <f t="shared" ref="AQ264:AQ294" si="88">IF(R264=0,IF(AH264=I$214,G$218,IF(AH264=I$224,G$228,IF(AH264=I$234,G$238,0))),0)</f>
        <v>0</v>
      </c>
      <c r="AR264" s="236">
        <f t="shared" ref="AR264:AR294" ca="1" si="89">IF(R264=1,AR263,AR263+IF(AND(AP264&gt;0,AH264&lt;=N_Kündigung),1,0)*AM264*(AI264))</f>
        <v>0</v>
      </c>
      <c r="AT264" s="241">
        <f t="shared" ref="AT264:AT294" ca="1" si="90">AT263-(AE264=3)</f>
        <v>28</v>
      </c>
      <c r="AV264" s="222">
        <f t="shared" ref="AV264:AV294" ca="1" si="91">IF(R264=1,AV263,(AE264=4)*(AV263+1))</f>
        <v>0</v>
      </c>
      <c r="AW264" s="247">
        <f t="shared" ref="AW264:AW294" si="92">A264-DATE(YEAR(A264),MONTH(A264)-N_LFP_324_Dauer_max,DAY(A264))</f>
        <v>92</v>
      </c>
      <c r="AY264" s="239">
        <f ca="1">(AE264=5)*('  B  '!F$110=1)*OR(AND(AND(A264&gt;=S$220,A264&gt;=I$214),AND(A264&lt;=S$221,A264&lt;=I$215)),AND(AND(A264&gt;=S$230,A264&gt;=I$224),AND(A264&lt;=S$231,A264&lt;=I$225)),AND(AND(A264&gt;=S$240,A264&gt;=I$234),AND(A264&lt;=S$241,A264&lt;=I$235)))</f>
        <v>0</v>
      </c>
      <c r="BA264" s="222">
        <f t="shared" ref="BA264:BA294" ca="1" si="93">IF(OR(AE264=5,AE264=8,AE264=10),1,0)</f>
        <v>0</v>
      </c>
      <c r="BB264" s="55">
        <f t="shared" ref="BB264:BB294" ca="1" si="94">BA264+IF(AND(MONTH(A264)=MONTH(N_Anstellung_Beginn),DAY(A264)=DAY(N_Anstellung_Beginn)),0,BB263)</f>
        <v>0</v>
      </c>
      <c r="BC264" s="247">
        <f t="shared" ref="BC264:BC294" si="95">IF(A264&gt;N_Anstellung_Beginn,IF(P264=1,VLOOKUP(P264,A_BernerSkala,2,0)*7,DATE(YEAR(A264),MONTH(A264)+VLOOKUP(MIN(20,P264),A_BernerSkala,2,0),DAY(A264))-A264),0)</f>
        <v>182</v>
      </c>
      <c r="BE264" s="239">
        <f t="shared" ref="BE264:BE294" ca="1" si="96">IF(R264=1,BE263,(AE264=6)*(BE263+1))</f>
        <v>0</v>
      </c>
      <c r="BG264" s="239">
        <f t="shared" ref="BG264:BG294" ca="1" si="97">IF(R264=1,BG263,(AE264=9)*(BG263+1))</f>
        <v>0</v>
      </c>
      <c r="BI264" s="222"/>
      <c r="BJ264" s="137">
        <v>0</v>
      </c>
      <c r="BK264" s="137">
        <v>0</v>
      </c>
      <c r="BL264" s="137">
        <f t="shared" ref="BL264:BL294" ca="1" si="98">IF(AND(N_LohnartAuswahl=2,N_Ferien_ArtAuszahlung_Auswahl=1),0,1)</f>
        <v>1</v>
      </c>
      <c r="BM264" s="137">
        <f t="shared" ref="BM264:BM294" ca="1" si="99">IF(AV264&lt;AW264,1,0)</f>
        <v>1</v>
      </c>
      <c r="BN264" s="137">
        <f ca="1">(A264&gt;=N_LFP_Startdatum)*IF('  B  '!F$110=1,NOT(OR(A264&gt;S$221,A264&gt;S$231,A264&gt;S$241)),IF(BB264&gt;BC264,0,1))</f>
        <v>1</v>
      </c>
      <c r="BO264" s="137">
        <f t="shared" ref="BO264:BO294" ca="1" si="100">IF(BE264&gt;(N_Wartefrist_Unfall+N_Unfalltaggeld_Dauer_max),0,1)</f>
        <v>1</v>
      </c>
      <c r="BP264" s="137">
        <v>0</v>
      </c>
      <c r="BQ264" s="137">
        <f t="shared" ref="BQ264:BQ294" ca="1" si="101">(A264&gt;=N_LFP_Startdatum)*IF(BB264&gt;BC264,0,1)</f>
        <v>1</v>
      </c>
      <c r="BR264" s="653">
        <v>0</v>
      </c>
      <c r="BS264" s="224">
        <f ca="1">(A264&gt;=N_LFP_Startdatum)*IF('  B  '!F$110=1,NOT(OR(A264&gt;S$221,A264&gt;S$231,A264&gt;S$241)),IF(BB264&gt;BC264,0,1))</f>
        <v>1</v>
      </c>
      <c r="BU264" s="562">
        <f t="shared" ref="BU264:BU294" ca="1" si="102">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103">H264*IF(N_ArbeitsstundenSollProKT&gt;0,N_Monatslohn/(P$2*N_ArbeitsstundenSollProKT),0)</f>
        <v>0</v>
      </c>
      <c r="CA264" s="156">
        <f t="shared" ref="CA264:CA294" ca="1" si="104">(R264=0)*SUM(BX264:BZ264)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5">(R264=0)*SUM(CC264:CE264)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6">AND(A264&gt;=I$214,A264&lt;=I$215)*SUM(CH264:CJ264)</f>
        <v>0</v>
      </c>
      <c r="CL264" s="270">
        <f t="shared" ref="CL264:CL294" ca="1" si="107">AND(A264&gt;=I$224,A264&lt;=I$225)*SUM(CH264:CJ264)</f>
        <v>0</v>
      </c>
      <c r="CM264" s="265">
        <f t="shared" ref="CM264:CM294" ca="1" si="108">AND(A264&gt;=I$234,A264&lt;=I$235)*SUM(CH264:CJ264)</f>
        <v>0</v>
      </c>
      <c r="CO264" s="222"/>
      <c r="CP264" s="137">
        <v>0</v>
      </c>
      <c r="CQ264" s="137">
        <v>0</v>
      </c>
      <c r="CR264" s="137">
        <v>0</v>
      </c>
      <c r="CS264" s="137">
        <f t="shared" ref="CS264:CS294" ca="1" si="109">(G264&gt;0)*IF(AV264&lt;=(A264-DATE(YEAR(A264),MONTH(A264)-N_LFP_324_RV_Dauer_max,DAY(A264))),1,0)</f>
        <v>0</v>
      </c>
      <c r="CT264" s="137">
        <f t="shared" ref="CT264:CT294" ca="1" si="110">(G264&gt;0)*IF(BB264&lt;=MIN(BC264,(A264-DATE(YEAR(A264),MONTH(A264)-N_LFP_324a_RV_Dauer_max,DAY(A264)))),1,0)</f>
        <v>0</v>
      </c>
      <c r="CU264" s="137">
        <f t="shared" ref="CU264:CU294" ca="1" si="111">(G264&gt;0)*1</f>
        <v>0</v>
      </c>
      <c r="CV264" s="137">
        <v>0</v>
      </c>
      <c r="CW264" s="137">
        <f t="shared" ref="CW264:CW294" ca="1" si="112">(G264&gt;0)*IF(BB264&lt;=MIN(BC264,(A264-DATE(YEAR(A264),MONTH(A264)-N_LFP_324a_RV_Dauer_max,DAY(A264)))),1,0)</f>
        <v>0</v>
      </c>
      <c r="CX264" s="137">
        <v>0</v>
      </c>
      <c r="CY264" s="224">
        <f t="shared" ref="CY264:CY294" ca="1" si="113">(G264&gt;0)*IF(BB264&lt;=MIN(BC264,(A264-DATE(YEAR(A264),MONTH(A264)-N_LFP_324a_RV_Dauer_max,DAY(A264)))),1,0)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 ca="1" si="114">AND(A264&gt;=I$214,A264&lt;=I$215)*SUM(DB264:DD264)</f>
        <v>0</v>
      </c>
      <c r="DF264" s="279">
        <f ca="1">AND(A264&gt;=I$224,A264&lt;=I$225)*SUM(DB264:DD264)</f>
        <v>0</v>
      </c>
      <c r="DG264" s="280">
        <f t="shared" ref="DG264" ca="1" si="115">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6">A264+1</f>
        <v>45324</v>
      </c>
      <c r="B265" s="154"/>
      <c r="C265" s="154"/>
      <c r="D265" s="154"/>
      <c r="E265" s="875" t="str">
        <f t="shared" ca="1" si="61"/>
        <v/>
      </c>
      <c r="F265" s="876"/>
      <c r="G265" s="667">
        <f t="shared" ref="G265:G294" ca="1" si="117">MAX(0,(N_ArbeitsstundenSollProKT*BU265-BV265)*OFFSET(BI265,0,AE265,1,1))</f>
        <v>0</v>
      </c>
      <c r="H265" s="667">
        <f t="shared" ca="1" si="62"/>
        <v>0</v>
      </c>
      <c r="I265" s="667">
        <f t="shared" ca="1" si="63"/>
        <v>0</v>
      </c>
      <c r="J265"/>
      <c r="K265"/>
      <c r="P265" s="151">
        <f t="shared" si="64"/>
        <v>125</v>
      </c>
      <c r="R265" s="55">
        <f t="shared" si="65"/>
        <v>0</v>
      </c>
      <c r="S265" s="55">
        <f t="shared" si="66"/>
        <v>1</v>
      </c>
      <c r="U265" s="226">
        <f t="shared" ref="U265:U294" si="118">(R265=0)*IF(A265&lt;N_Anstellung_Beginn,1,0)</f>
        <v>0</v>
      </c>
      <c r="V265" s="137">
        <f t="shared" ref="V265:V294" ca="1" si="119">(R265=0)*IF(A265&gt;N_Anstellung_Ende,1,0)</f>
        <v>0</v>
      </c>
      <c r="W265" s="137">
        <f t="shared" ref="W265:W294" si="120">(R265=0)*IF(OR(AND(A265&gt;=$I$203,A265&lt;=$I$204),AND(A265&gt;=$I$206,A265&lt;=$I$207),AND(A265&gt;=$I$209,A265&lt;=$I$210)),1,0)</f>
        <v>0</v>
      </c>
      <c r="X265" s="137">
        <f t="shared" ref="X265:X294" si="121">(R265=0)*IF(OR(AND(A265&gt;=$I$246,A265&lt;=$I$247),AND(A265&gt;=$I$249,A265&lt;=$I$250),AND(A265&gt;=$I$252,A265&lt;=$I$253)),1,0)</f>
        <v>0</v>
      </c>
      <c r="Y265" s="137">
        <f t="shared" ca="1" si="71"/>
        <v>0</v>
      </c>
      <c r="Z265" s="137">
        <f t="shared" ca="1" si="72"/>
        <v>0</v>
      </c>
      <c r="AA265" s="137">
        <f t="shared" ca="1" si="73"/>
        <v>0</v>
      </c>
      <c r="AB265" s="137">
        <f t="shared" ca="1" si="74"/>
        <v>0</v>
      </c>
      <c r="AC265" s="137">
        <f t="shared" ca="1" si="75"/>
        <v>0</v>
      </c>
      <c r="AD265" s="137">
        <f t="shared" ca="1" si="76"/>
        <v>0</v>
      </c>
      <c r="AE265" s="223">
        <f t="shared" ref="AE265:AE294" ca="1" si="122">IF(SUM(U265:V265)&gt;0,(U265*U$260+V265*V$260),IF(W265&gt;0,W265*W$260,IF(SUM(Y265:AD265)&gt;0,(Y265*Y$260+Z265*Z$260+AA265*AA$260+AB265*AB$260+AC265*AC$260+AD265*AD$260),IF(X265&gt;0,X265*X$260,0))))</f>
        <v>0</v>
      </c>
      <c r="AF265" s="229" t="str">
        <f t="shared" ca="1" si="78"/>
        <v/>
      </c>
      <c r="AH265" s="235">
        <f t="shared" si="79"/>
        <v>45324</v>
      </c>
      <c r="AI265" s="137">
        <f t="shared" ca="1" si="80"/>
        <v>0</v>
      </c>
      <c r="AJ265" s="137">
        <f t="shared" si="81"/>
        <v>0</v>
      </c>
      <c r="AK265" s="137">
        <f t="shared" ca="1" si="82"/>
        <v>0</v>
      </c>
      <c r="AL265" s="137">
        <f t="shared" ca="1" si="83"/>
        <v>0</v>
      </c>
      <c r="AM265" s="137">
        <f t="shared" si="84"/>
        <v>0</v>
      </c>
      <c r="AN265" s="137">
        <f t="shared" ca="1" si="85"/>
        <v>0</v>
      </c>
      <c r="AO265" s="137">
        <f t="shared" ca="1" si="86"/>
        <v>0</v>
      </c>
      <c r="AP265" s="137">
        <f t="shared" ca="1" si="87"/>
        <v>0</v>
      </c>
      <c r="AQ265" s="137">
        <f t="shared" si="88"/>
        <v>0</v>
      </c>
      <c r="AR265" s="236">
        <f t="shared" ca="1" si="89"/>
        <v>0</v>
      </c>
      <c r="AT265" s="241">
        <f t="shared" ca="1" si="90"/>
        <v>28</v>
      </c>
      <c r="AV265" s="222">
        <f t="shared" ca="1" si="91"/>
        <v>0</v>
      </c>
      <c r="AW265" s="247">
        <f t="shared" si="92"/>
        <v>92</v>
      </c>
      <c r="AY265" s="239">
        <f ca="1">(AE265=5)*('  B  '!F$110=1)*OR(AND(AND(A265&gt;=S$220,A265&gt;=I$214),AND(A265&lt;=S$221,A265&lt;=I$215)),AND(AND(A265&gt;=S$230,A265&gt;=I$224),AND(A265&lt;=S$231,A265&lt;=I$225)),AND(AND(A265&gt;=S$240,A265&gt;=I$234),AND(A265&lt;=S$241,A265&lt;=I$235)))</f>
        <v>0</v>
      </c>
      <c r="BA265" s="222">
        <f t="shared" ca="1" si="93"/>
        <v>0</v>
      </c>
      <c r="BB265" s="55">
        <f t="shared" ca="1" si="94"/>
        <v>0</v>
      </c>
      <c r="BC265" s="247">
        <f t="shared" si="95"/>
        <v>182</v>
      </c>
      <c r="BE265" s="239">
        <f t="shared" ca="1" si="96"/>
        <v>0</v>
      </c>
      <c r="BG265" s="239">
        <f t="shared" ca="1" si="97"/>
        <v>0</v>
      </c>
      <c r="BI265" s="222"/>
      <c r="BJ265" s="137">
        <v>0</v>
      </c>
      <c r="BK265" s="137">
        <v>0</v>
      </c>
      <c r="BL265" s="137">
        <f t="shared" ca="1" si="98"/>
        <v>1</v>
      </c>
      <c r="BM265" s="137">
        <f t="shared" ca="1" si="99"/>
        <v>1</v>
      </c>
      <c r="BN265" s="137">
        <f ca="1">(A265&gt;=N_LFP_Startdatum)*IF('  B  '!F$110=1,NOT(OR(A265&gt;S$221,A265&gt;S$231,A265&gt;S$241)),IF(BB265&gt;BC265,0,1))</f>
        <v>1</v>
      </c>
      <c r="BO265" s="137">
        <f t="shared" ca="1" si="100"/>
        <v>1</v>
      </c>
      <c r="BP265" s="137">
        <v>0</v>
      </c>
      <c r="BQ265" s="137">
        <f t="shared" ca="1" si="101"/>
        <v>1</v>
      </c>
      <c r="BR265" s="653">
        <v>0</v>
      </c>
      <c r="BS265" s="224">
        <f ca="1">(A265&gt;=N_LFP_Startdatum)*IF('  B  '!F$110=1,NOT(OR(A265&gt;S$221,A265&gt;S$231,A265&gt;S$241)),IF(BB265&gt;BC265,0,1))</f>
        <v>1</v>
      </c>
      <c r="BU265" s="562">
        <f t="shared" ca="1" si="102"/>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103"/>
        <v>0</v>
      </c>
      <c r="CA265" s="156">
        <f t="shared" ca="1" si="104"/>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5"/>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6"/>
        <v>0</v>
      </c>
      <c r="CL265" s="270">
        <f t="shared" ca="1" si="107"/>
        <v>0</v>
      </c>
      <c r="CM265" s="265">
        <f t="shared" ca="1" si="108"/>
        <v>0</v>
      </c>
      <c r="CO265" s="222"/>
      <c r="CP265" s="137">
        <v>0</v>
      </c>
      <c r="CQ265" s="137">
        <v>0</v>
      </c>
      <c r="CR265" s="137">
        <v>0</v>
      </c>
      <c r="CS265" s="137">
        <f t="shared" ca="1" si="109"/>
        <v>0</v>
      </c>
      <c r="CT265" s="137">
        <f t="shared" ca="1" si="110"/>
        <v>0</v>
      </c>
      <c r="CU265" s="137">
        <f t="shared" ca="1" si="111"/>
        <v>0</v>
      </c>
      <c r="CV265" s="137">
        <v>0</v>
      </c>
      <c r="CW265" s="137">
        <f t="shared" ca="1" si="112"/>
        <v>0</v>
      </c>
      <c r="CX265" s="137">
        <v>0</v>
      </c>
      <c r="CY265" s="224">
        <f t="shared" ca="1" si="113"/>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ref="DE265:DE294" ca="1" si="123">AND(A265&gt;=I$214,A265&lt;=I$215)*SUM(DB265:DD265)</f>
        <v>0</v>
      </c>
      <c r="DF265" s="279">
        <f t="shared" ref="DF265:DF292" ca="1" si="124">AND(A265&gt;=I$224,A265&lt;=I$225)*SUM(DB265:DD265)</f>
        <v>0</v>
      </c>
      <c r="DG265" s="280">
        <f t="shared" ref="DG265:DG292" ca="1" si="125">AND(A265&gt;=I$234,A265&lt;=I$235)*SUM(DB265:DD265)</f>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26">AND(A265&gt;=I$214,A265&lt;=I$215)*SUM(DI265:DL265)</f>
        <v>0</v>
      </c>
      <c r="DN265" s="279">
        <f t="shared" ref="DN265:DN294" ca="1" si="127">AND(A265&gt;=I$224,A265&lt;=I$225)*SUM(DJ265:DL265)</f>
        <v>0</v>
      </c>
      <c r="DO265" s="279">
        <f t="shared" ref="DO265:DO294" ca="1" si="128">AND(A265&gt;=I$234,A265&lt;=I$235)*SUM(DB265:DD265)</f>
        <v>0</v>
      </c>
    </row>
    <row r="266" spans="1:119" x14ac:dyDescent="0.25">
      <c r="A266" s="153">
        <f t="shared" si="116"/>
        <v>45325</v>
      </c>
      <c r="B266" s="154"/>
      <c r="C266" s="154"/>
      <c r="D266" s="154"/>
      <c r="E266" s="875" t="str">
        <f t="shared" ca="1" si="61"/>
        <v/>
      </c>
      <c r="F266" s="876"/>
      <c r="G266" s="667">
        <f t="shared" ca="1" si="117"/>
        <v>0</v>
      </c>
      <c r="H266" s="667">
        <f t="shared" ca="1" si="62"/>
        <v>0</v>
      </c>
      <c r="I266" s="667">
        <f t="shared" ca="1" si="63"/>
        <v>0</v>
      </c>
      <c r="J266"/>
      <c r="K266"/>
      <c r="P266" s="151">
        <f t="shared" si="64"/>
        <v>125</v>
      </c>
      <c r="R266" s="55">
        <f t="shared" si="65"/>
        <v>0</v>
      </c>
      <c r="S266" s="55">
        <f t="shared" si="66"/>
        <v>1</v>
      </c>
      <c r="U266" s="226">
        <f t="shared" si="118"/>
        <v>0</v>
      </c>
      <c r="V266" s="137">
        <f t="shared" ca="1" si="119"/>
        <v>0</v>
      </c>
      <c r="W266" s="137">
        <f t="shared" si="120"/>
        <v>0</v>
      </c>
      <c r="X266" s="137">
        <f t="shared" si="121"/>
        <v>0</v>
      </c>
      <c r="Y266" s="137">
        <f t="shared" ca="1" si="71"/>
        <v>0</v>
      </c>
      <c r="Z266" s="137">
        <f t="shared" ca="1" si="72"/>
        <v>0</v>
      </c>
      <c r="AA266" s="137">
        <f t="shared" ca="1" si="73"/>
        <v>0</v>
      </c>
      <c r="AB266" s="137">
        <f t="shared" ca="1" si="74"/>
        <v>0</v>
      </c>
      <c r="AC266" s="137">
        <f t="shared" ca="1" si="75"/>
        <v>0</v>
      </c>
      <c r="AD266" s="137">
        <f t="shared" ca="1" si="76"/>
        <v>0</v>
      </c>
      <c r="AE266" s="223">
        <f t="shared" ca="1" si="122"/>
        <v>0</v>
      </c>
      <c r="AF266" s="229" t="str">
        <f t="shared" ca="1" si="78"/>
        <v/>
      </c>
      <c r="AH266" s="235">
        <f t="shared" si="79"/>
        <v>45325</v>
      </c>
      <c r="AI266" s="137">
        <f t="shared" ca="1" si="80"/>
        <v>0</v>
      </c>
      <c r="AJ266" s="137">
        <f t="shared" si="81"/>
        <v>0</v>
      </c>
      <c r="AK266" s="137">
        <f t="shared" ca="1" si="82"/>
        <v>0</v>
      </c>
      <c r="AL266" s="137">
        <f t="shared" ca="1" si="83"/>
        <v>0</v>
      </c>
      <c r="AM266" s="137">
        <f t="shared" si="84"/>
        <v>0</v>
      </c>
      <c r="AN266" s="137">
        <f t="shared" ca="1" si="85"/>
        <v>0</v>
      </c>
      <c r="AO266" s="137">
        <f t="shared" ca="1" si="86"/>
        <v>0</v>
      </c>
      <c r="AP266" s="137">
        <f t="shared" ca="1" si="87"/>
        <v>0</v>
      </c>
      <c r="AQ266" s="137">
        <f t="shared" si="88"/>
        <v>0</v>
      </c>
      <c r="AR266" s="236">
        <f t="shared" ca="1" si="89"/>
        <v>0</v>
      </c>
      <c r="AT266" s="241">
        <f t="shared" ca="1" si="90"/>
        <v>28</v>
      </c>
      <c r="AV266" s="222">
        <f t="shared" ca="1" si="91"/>
        <v>0</v>
      </c>
      <c r="AW266" s="247">
        <f t="shared" si="92"/>
        <v>92</v>
      </c>
      <c r="AY266" s="239">
        <f ca="1">(AE266=5)*('  B  '!F$110=1)*OR(AND(AND(A266&gt;=S$220,A266&gt;=I$214),AND(A266&lt;=S$221,A266&lt;=I$215)),AND(AND(A266&gt;=S$230,A266&gt;=I$224),AND(A266&lt;=S$231,A266&lt;=I$225)),AND(AND(A266&gt;=S$240,A266&gt;=I$234),AND(A266&lt;=S$241,A266&lt;=I$235)))</f>
        <v>0</v>
      </c>
      <c r="BA266" s="222">
        <f t="shared" ca="1" si="93"/>
        <v>0</v>
      </c>
      <c r="BB266" s="55">
        <f t="shared" ca="1" si="94"/>
        <v>0</v>
      </c>
      <c r="BC266" s="247">
        <f t="shared" si="95"/>
        <v>182</v>
      </c>
      <c r="BE266" s="239">
        <f t="shared" ca="1" si="96"/>
        <v>0</v>
      </c>
      <c r="BG266" s="239">
        <f t="shared" ca="1" si="97"/>
        <v>0</v>
      </c>
      <c r="BI266" s="222"/>
      <c r="BJ266" s="137">
        <v>0</v>
      </c>
      <c r="BK266" s="137">
        <v>0</v>
      </c>
      <c r="BL266" s="137">
        <f t="shared" ca="1" si="98"/>
        <v>1</v>
      </c>
      <c r="BM266" s="137">
        <f t="shared" ca="1" si="99"/>
        <v>1</v>
      </c>
      <c r="BN266" s="137">
        <f ca="1">(A266&gt;=N_LFP_Startdatum)*IF('  B  '!F$110=1,NOT(OR(A266&gt;S$221,A266&gt;S$231,A266&gt;S$241)),IF(BB266&gt;BC266,0,1))</f>
        <v>1</v>
      </c>
      <c r="BO266" s="137">
        <f t="shared" ca="1" si="100"/>
        <v>1</v>
      </c>
      <c r="BP266" s="137">
        <v>0</v>
      </c>
      <c r="BQ266" s="137">
        <f t="shared" ca="1" si="101"/>
        <v>1</v>
      </c>
      <c r="BR266" s="653">
        <v>0</v>
      </c>
      <c r="BS266" s="224">
        <f ca="1">(A266&gt;=N_LFP_Startdatum)*IF('  B  '!F$110=1,NOT(OR(A266&gt;S$221,A266&gt;S$231,A266&gt;S$241)),IF(BB266&gt;BC266,0,1))</f>
        <v>1</v>
      </c>
      <c r="BU266" s="562">
        <f t="shared" ca="1" si="102"/>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103"/>
        <v>0</v>
      </c>
      <c r="CA266" s="156">
        <f t="shared" ca="1" si="104"/>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5"/>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6"/>
        <v>0</v>
      </c>
      <c r="CL266" s="270">
        <f t="shared" ca="1" si="107"/>
        <v>0</v>
      </c>
      <c r="CM266" s="265">
        <f t="shared" ca="1" si="108"/>
        <v>0</v>
      </c>
      <c r="CO266" s="222"/>
      <c r="CP266" s="137">
        <v>0</v>
      </c>
      <c r="CQ266" s="137">
        <v>0</v>
      </c>
      <c r="CR266" s="137">
        <v>0</v>
      </c>
      <c r="CS266" s="137">
        <f t="shared" ca="1" si="109"/>
        <v>0</v>
      </c>
      <c r="CT266" s="137">
        <f t="shared" ca="1" si="110"/>
        <v>0</v>
      </c>
      <c r="CU266" s="137">
        <f t="shared" ca="1" si="111"/>
        <v>0</v>
      </c>
      <c r="CV266" s="137">
        <v>0</v>
      </c>
      <c r="CW266" s="137">
        <f t="shared" ca="1" si="112"/>
        <v>0</v>
      </c>
      <c r="CX266" s="137">
        <v>0</v>
      </c>
      <c r="CY266" s="224">
        <f t="shared" ca="1" si="113"/>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23"/>
        <v>0</v>
      </c>
      <c r="DF266" s="279">
        <f t="shared" ca="1" si="124"/>
        <v>0</v>
      </c>
      <c r="DG266" s="280">
        <f t="shared" ca="1" si="125"/>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26"/>
        <v>0</v>
      </c>
      <c r="DN266" s="279">
        <f t="shared" ca="1" si="127"/>
        <v>0</v>
      </c>
      <c r="DO266" s="279">
        <f t="shared" ca="1" si="128"/>
        <v>0</v>
      </c>
    </row>
    <row r="267" spans="1:119" x14ac:dyDescent="0.25">
      <c r="A267" s="153">
        <f t="shared" si="116"/>
        <v>45326</v>
      </c>
      <c r="B267" s="154"/>
      <c r="C267" s="154"/>
      <c r="D267" s="154"/>
      <c r="E267" s="875" t="str">
        <f t="shared" ca="1" si="61"/>
        <v/>
      </c>
      <c r="F267" s="876"/>
      <c r="G267" s="667">
        <f t="shared" ca="1" si="117"/>
        <v>0</v>
      </c>
      <c r="H267" s="667">
        <f t="shared" ca="1" si="62"/>
        <v>0</v>
      </c>
      <c r="I267" s="667">
        <f t="shared" ca="1" si="63"/>
        <v>0</v>
      </c>
      <c r="J267"/>
      <c r="K267"/>
      <c r="P267" s="151">
        <f t="shared" si="64"/>
        <v>125</v>
      </c>
      <c r="R267" s="55">
        <f t="shared" si="65"/>
        <v>0</v>
      </c>
      <c r="S267" s="55">
        <f t="shared" si="66"/>
        <v>1</v>
      </c>
      <c r="U267" s="226">
        <f t="shared" si="118"/>
        <v>0</v>
      </c>
      <c r="V267" s="137">
        <f t="shared" ca="1" si="119"/>
        <v>0</v>
      </c>
      <c r="W267" s="137">
        <f t="shared" si="120"/>
        <v>0</v>
      </c>
      <c r="X267" s="137">
        <f t="shared" si="121"/>
        <v>0</v>
      </c>
      <c r="Y267" s="137">
        <f t="shared" ca="1" si="71"/>
        <v>0</v>
      </c>
      <c r="Z267" s="137">
        <f t="shared" ca="1" si="72"/>
        <v>0</v>
      </c>
      <c r="AA267" s="137">
        <f t="shared" ca="1" si="73"/>
        <v>0</v>
      </c>
      <c r="AB267" s="137">
        <f t="shared" ca="1" si="74"/>
        <v>0</v>
      </c>
      <c r="AC267" s="137">
        <f t="shared" ca="1" si="75"/>
        <v>0</v>
      </c>
      <c r="AD267" s="137">
        <f t="shared" ca="1" si="76"/>
        <v>0</v>
      </c>
      <c r="AE267" s="223">
        <f t="shared" ca="1" si="122"/>
        <v>0</v>
      </c>
      <c r="AF267" s="229" t="str">
        <f t="shared" ca="1" si="78"/>
        <v/>
      </c>
      <c r="AH267" s="235">
        <f t="shared" si="79"/>
        <v>45326</v>
      </c>
      <c r="AI267" s="137">
        <f t="shared" ca="1" si="80"/>
        <v>0</v>
      </c>
      <c r="AJ267" s="137">
        <f t="shared" si="81"/>
        <v>0</v>
      </c>
      <c r="AK267" s="137">
        <f t="shared" ca="1" si="82"/>
        <v>0</v>
      </c>
      <c r="AL267" s="137">
        <f t="shared" ca="1" si="83"/>
        <v>0</v>
      </c>
      <c r="AM267" s="137">
        <f t="shared" si="84"/>
        <v>0</v>
      </c>
      <c r="AN267" s="137">
        <f t="shared" ca="1" si="85"/>
        <v>0</v>
      </c>
      <c r="AO267" s="137">
        <f t="shared" ca="1" si="86"/>
        <v>0</v>
      </c>
      <c r="AP267" s="137">
        <f t="shared" ca="1" si="87"/>
        <v>0</v>
      </c>
      <c r="AQ267" s="137">
        <f t="shared" si="88"/>
        <v>0</v>
      </c>
      <c r="AR267" s="236">
        <f t="shared" ca="1" si="89"/>
        <v>0</v>
      </c>
      <c r="AT267" s="241">
        <f t="shared" ca="1" si="90"/>
        <v>28</v>
      </c>
      <c r="AV267" s="222">
        <f t="shared" ca="1" si="91"/>
        <v>0</v>
      </c>
      <c r="AW267" s="247">
        <f t="shared" si="92"/>
        <v>92</v>
      </c>
      <c r="AY267" s="239">
        <f ca="1">(AE267=5)*('  B  '!F$110=1)*OR(AND(AND(A267&gt;=S$220,A267&gt;=I$214),AND(A267&lt;=S$221,A267&lt;=I$215)),AND(AND(A267&gt;=S$230,A267&gt;=I$224),AND(A267&lt;=S$231,A267&lt;=I$225)),AND(AND(A267&gt;=S$240,A267&gt;=I$234),AND(A267&lt;=S$241,A267&lt;=I$235)))</f>
        <v>0</v>
      </c>
      <c r="BA267" s="222">
        <f t="shared" ca="1" si="93"/>
        <v>0</v>
      </c>
      <c r="BB267" s="55">
        <f t="shared" ca="1" si="94"/>
        <v>0</v>
      </c>
      <c r="BC267" s="247">
        <f t="shared" si="95"/>
        <v>182</v>
      </c>
      <c r="BE267" s="239">
        <f t="shared" ca="1" si="96"/>
        <v>0</v>
      </c>
      <c r="BG267" s="239">
        <f t="shared" ca="1" si="97"/>
        <v>0</v>
      </c>
      <c r="BI267" s="222"/>
      <c r="BJ267" s="137">
        <v>0</v>
      </c>
      <c r="BK267" s="137">
        <v>0</v>
      </c>
      <c r="BL267" s="137">
        <f t="shared" ca="1" si="98"/>
        <v>1</v>
      </c>
      <c r="BM267" s="137">
        <f t="shared" ca="1" si="99"/>
        <v>1</v>
      </c>
      <c r="BN267" s="137">
        <f ca="1">(A267&gt;=N_LFP_Startdatum)*IF('  B  '!F$110=1,NOT(OR(A267&gt;S$221,A267&gt;S$231,A267&gt;S$241)),IF(BB267&gt;BC267,0,1))</f>
        <v>1</v>
      </c>
      <c r="BO267" s="137">
        <f t="shared" ca="1" si="100"/>
        <v>1</v>
      </c>
      <c r="BP267" s="137">
        <v>0</v>
      </c>
      <c r="BQ267" s="137">
        <f t="shared" ca="1" si="101"/>
        <v>1</v>
      </c>
      <c r="BR267" s="653">
        <v>0</v>
      </c>
      <c r="BS267" s="224">
        <f ca="1">(A267&gt;=N_LFP_Startdatum)*IF('  B  '!F$110=1,NOT(OR(A267&gt;S$221,A267&gt;S$231,A267&gt;S$241)),IF(BB267&gt;BC267,0,1))</f>
        <v>1</v>
      </c>
      <c r="BU267" s="562">
        <f t="shared" ca="1" si="102"/>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103"/>
        <v>0</v>
      </c>
      <c r="CA267" s="156">
        <f t="shared" ca="1" si="104"/>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5"/>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6"/>
        <v>0</v>
      </c>
      <c r="CL267" s="270">
        <f t="shared" ca="1" si="107"/>
        <v>0</v>
      </c>
      <c r="CM267" s="265">
        <f t="shared" ca="1" si="108"/>
        <v>0</v>
      </c>
      <c r="CO267" s="222"/>
      <c r="CP267" s="137">
        <v>0</v>
      </c>
      <c r="CQ267" s="137">
        <v>0</v>
      </c>
      <c r="CR267" s="137">
        <v>0</v>
      </c>
      <c r="CS267" s="137">
        <f t="shared" ca="1" si="109"/>
        <v>0</v>
      </c>
      <c r="CT267" s="137">
        <f t="shared" ca="1" si="110"/>
        <v>0</v>
      </c>
      <c r="CU267" s="137">
        <f t="shared" ca="1" si="111"/>
        <v>0</v>
      </c>
      <c r="CV267" s="137">
        <v>0</v>
      </c>
      <c r="CW267" s="137">
        <f t="shared" ca="1" si="112"/>
        <v>0</v>
      </c>
      <c r="CX267" s="137">
        <v>0</v>
      </c>
      <c r="CY267" s="224">
        <f t="shared" ca="1" si="113"/>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23"/>
        <v>0</v>
      </c>
      <c r="DF267" s="279">
        <f t="shared" ca="1" si="124"/>
        <v>0</v>
      </c>
      <c r="DG267" s="280">
        <f t="shared" ca="1" si="125"/>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26"/>
        <v>0</v>
      </c>
      <c r="DN267" s="279">
        <f t="shared" ca="1" si="127"/>
        <v>0</v>
      </c>
      <c r="DO267" s="279">
        <f t="shared" ca="1" si="128"/>
        <v>0</v>
      </c>
    </row>
    <row r="268" spans="1:119" x14ac:dyDescent="0.25">
      <c r="A268" s="153">
        <f t="shared" si="116"/>
        <v>45327</v>
      </c>
      <c r="B268" s="154"/>
      <c r="C268" s="154"/>
      <c r="D268" s="154"/>
      <c r="E268" s="875" t="str">
        <f t="shared" ca="1" si="61"/>
        <v/>
      </c>
      <c r="F268" s="876"/>
      <c r="G268" s="667">
        <f t="shared" ca="1" si="117"/>
        <v>0</v>
      </c>
      <c r="H268" s="667">
        <f t="shared" ca="1" si="62"/>
        <v>0</v>
      </c>
      <c r="I268" s="667">
        <f t="shared" ca="1" si="63"/>
        <v>0</v>
      </c>
      <c r="J268"/>
      <c r="K268"/>
      <c r="P268" s="151">
        <f t="shared" si="64"/>
        <v>125</v>
      </c>
      <c r="R268" s="55">
        <f t="shared" si="65"/>
        <v>0</v>
      </c>
      <c r="S268" s="55">
        <f t="shared" si="66"/>
        <v>1</v>
      </c>
      <c r="U268" s="226">
        <f t="shared" si="118"/>
        <v>0</v>
      </c>
      <c r="V268" s="137">
        <f t="shared" ca="1" si="119"/>
        <v>0</v>
      </c>
      <c r="W268" s="137">
        <f t="shared" si="120"/>
        <v>0</v>
      </c>
      <c r="X268" s="137">
        <f t="shared" si="121"/>
        <v>0</v>
      </c>
      <c r="Y268" s="137">
        <f t="shared" ca="1" si="71"/>
        <v>0</v>
      </c>
      <c r="Z268" s="137">
        <f t="shared" ca="1" si="72"/>
        <v>0</v>
      </c>
      <c r="AA268" s="137">
        <f t="shared" ca="1" si="73"/>
        <v>0</v>
      </c>
      <c r="AB268" s="137">
        <f t="shared" ca="1" si="74"/>
        <v>0</v>
      </c>
      <c r="AC268" s="137">
        <f t="shared" ca="1" si="75"/>
        <v>0</v>
      </c>
      <c r="AD268" s="137">
        <f t="shared" ca="1" si="76"/>
        <v>0</v>
      </c>
      <c r="AE268" s="223">
        <f t="shared" ca="1" si="122"/>
        <v>0</v>
      </c>
      <c r="AF268" s="229" t="str">
        <f t="shared" ca="1" si="78"/>
        <v/>
      </c>
      <c r="AH268" s="235">
        <f t="shared" si="79"/>
        <v>45327</v>
      </c>
      <c r="AI268" s="137">
        <f t="shared" ca="1" si="80"/>
        <v>0</v>
      </c>
      <c r="AJ268" s="137">
        <f t="shared" si="81"/>
        <v>0</v>
      </c>
      <c r="AK268" s="137">
        <f t="shared" ca="1" si="82"/>
        <v>0</v>
      </c>
      <c r="AL268" s="137">
        <f t="shared" ca="1" si="83"/>
        <v>0</v>
      </c>
      <c r="AM268" s="137">
        <f t="shared" si="84"/>
        <v>0</v>
      </c>
      <c r="AN268" s="137">
        <f t="shared" ca="1" si="85"/>
        <v>0</v>
      </c>
      <c r="AO268" s="137">
        <f t="shared" ca="1" si="86"/>
        <v>0</v>
      </c>
      <c r="AP268" s="137">
        <f t="shared" ca="1" si="87"/>
        <v>0</v>
      </c>
      <c r="AQ268" s="137">
        <f t="shared" si="88"/>
        <v>0</v>
      </c>
      <c r="AR268" s="236">
        <f t="shared" ca="1" si="89"/>
        <v>0</v>
      </c>
      <c r="AT268" s="241">
        <f t="shared" ca="1" si="90"/>
        <v>28</v>
      </c>
      <c r="AV268" s="222">
        <f t="shared" ca="1" si="91"/>
        <v>0</v>
      </c>
      <c r="AW268" s="247">
        <f t="shared" si="92"/>
        <v>92</v>
      </c>
      <c r="AY268" s="239">
        <f ca="1">(AE268=5)*('  B  '!F$110=1)*OR(AND(AND(A268&gt;=S$220,A268&gt;=I$214),AND(A268&lt;=S$221,A268&lt;=I$215)),AND(AND(A268&gt;=S$230,A268&gt;=I$224),AND(A268&lt;=S$231,A268&lt;=I$225)),AND(AND(A268&gt;=S$240,A268&gt;=I$234),AND(A268&lt;=S$241,A268&lt;=I$235)))</f>
        <v>0</v>
      </c>
      <c r="BA268" s="222">
        <f t="shared" ca="1" si="93"/>
        <v>0</v>
      </c>
      <c r="BB268" s="55">
        <f t="shared" ca="1" si="94"/>
        <v>0</v>
      </c>
      <c r="BC268" s="247">
        <f t="shared" si="95"/>
        <v>182</v>
      </c>
      <c r="BE268" s="239">
        <f t="shared" ca="1" si="96"/>
        <v>0</v>
      </c>
      <c r="BG268" s="239">
        <f t="shared" ca="1" si="97"/>
        <v>0</v>
      </c>
      <c r="BI268" s="222"/>
      <c r="BJ268" s="137">
        <v>0</v>
      </c>
      <c r="BK268" s="137">
        <v>0</v>
      </c>
      <c r="BL268" s="137">
        <f t="shared" ca="1" si="98"/>
        <v>1</v>
      </c>
      <c r="BM268" s="137">
        <f t="shared" ca="1" si="99"/>
        <v>1</v>
      </c>
      <c r="BN268" s="137">
        <f ca="1">(A268&gt;=N_LFP_Startdatum)*IF('  B  '!F$110=1,NOT(OR(A268&gt;S$221,A268&gt;S$231,A268&gt;S$241)),IF(BB268&gt;BC268,0,1))</f>
        <v>1</v>
      </c>
      <c r="BO268" s="137">
        <f t="shared" ca="1" si="100"/>
        <v>1</v>
      </c>
      <c r="BP268" s="137">
        <v>0</v>
      </c>
      <c r="BQ268" s="137">
        <f t="shared" ca="1" si="101"/>
        <v>1</v>
      </c>
      <c r="BR268" s="653">
        <v>0</v>
      </c>
      <c r="BS268" s="224">
        <f ca="1">(A268&gt;=N_LFP_Startdatum)*IF('  B  '!F$110=1,NOT(OR(A268&gt;S$221,A268&gt;S$231,A268&gt;S$241)),IF(BB268&gt;BC268,0,1))</f>
        <v>1</v>
      </c>
      <c r="BU268" s="562">
        <f t="shared" ca="1" si="102"/>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103"/>
        <v>0</v>
      </c>
      <c r="CA268" s="156">
        <f t="shared" ca="1" si="104"/>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5"/>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6"/>
        <v>0</v>
      </c>
      <c r="CL268" s="270">
        <f t="shared" ca="1" si="107"/>
        <v>0</v>
      </c>
      <c r="CM268" s="265">
        <f t="shared" ca="1" si="108"/>
        <v>0</v>
      </c>
      <c r="CO268" s="222"/>
      <c r="CP268" s="137">
        <v>0</v>
      </c>
      <c r="CQ268" s="137">
        <v>0</v>
      </c>
      <c r="CR268" s="137">
        <v>0</v>
      </c>
      <c r="CS268" s="137">
        <f t="shared" ca="1" si="109"/>
        <v>0</v>
      </c>
      <c r="CT268" s="137">
        <f t="shared" ca="1" si="110"/>
        <v>0</v>
      </c>
      <c r="CU268" s="137">
        <f t="shared" ca="1" si="111"/>
        <v>0</v>
      </c>
      <c r="CV268" s="137">
        <v>0</v>
      </c>
      <c r="CW268" s="137">
        <f t="shared" ca="1" si="112"/>
        <v>0</v>
      </c>
      <c r="CX268" s="137">
        <v>0</v>
      </c>
      <c r="CY268" s="224">
        <f t="shared" ca="1" si="113"/>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23"/>
        <v>0</v>
      </c>
      <c r="DF268" s="279">
        <f t="shared" ca="1" si="124"/>
        <v>0</v>
      </c>
      <c r="DG268" s="280">
        <f t="shared" ca="1" si="125"/>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26"/>
        <v>0</v>
      </c>
      <c r="DN268" s="279">
        <f t="shared" ca="1" si="127"/>
        <v>0</v>
      </c>
      <c r="DO268" s="279">
        <f t="shared" ca="1" si="128"/>
        <v>0</v>
      </c>
    </row>
    <row r="269" spans="1:119" x14ac:dyDescent="0.25">
      <c r="A269" s="153">
        <f t="shared" si="116"/>
        <v>45328</v>
      </c>
      <c r="B269" s="154"/>
      <c r="C269" s="154"/>
      <c r="D269" s="154"/>
      <c r="E269" s="875" t="str">
        <f t="shared" ca="1" si="61"/>
        <v/>
      </c>
      <c r="F269" s="876"/>
      <c r="G269" s="667">
        <f t="shared" ca="1" si="117"/>
        <v>0</v>
      </c>
      <c r="H269" s="667">
        <f t="shared" ca="1" si="62"/>
        <v>0</v>
      </c>
      <c r="I269" s="667">
        <f t="shared" ca="1" si="63"/>
        <v>0</v>
      </c>
      <c r="J269"/>
      <c r="K269"/>
      <c r="P269" s="151">
        <f t="shared" si="64"/>
        <v>125</v>
      </c>
      <c r="R269" s="55">
        <f t="shared" si="65"/>
        <v>0</v>
      </c>
      <c r="S269" s="55">
        <f t="shared" si="66"/>
        <v>1</v>
      </c>
      <c r="U269" s="226">
        <f t="shared" si="118"/>
        <v>0</v>
      </c>
      <c r="V269" s="137">
        <f t="shared" ca="1" si="119"/>
        <v>0</v>
      </c>
      <c r="W269" s="137">
        <f t="shared" si="120"/>
        <v>0</v>
      </c>
      <c r="X269" s="137">
        <f t="shared" si="121"/>
        <v>0</v>
      </c>
      <c r="Y269" s="137">
        <f t="shared" ca="1" si="71"/>
        <v>0</v>
      </c>
      <c r="Z269" s="137">
        <f t="shared" ca="1" si="72"/>
        <v>0</v>
      </c>
      <c r="AA269" s="137">
        <f t="shared" ca="1" si="73"/>
        <v>0</v>
      </c>
      <c r="AB269" s="137">
        <f t="shared" ca="1" si="74"/>
        <v>0</v>
      </c>
      <c r="AC269" s="137">
        <f t="shared" ca="1" si="75"/>
        <v>0</v>
      </c>
      <c r="AD269" s="137">
        <f t="shared" ca="1" si="76"/>
        <v>0</v>
      </c>
      <c r="AE269" s="223">
        <f t="shared" ca="1" si="122"/>
        <v>0</v>
      </c>
      <c r="AF269" s="229" t="str">
        <f t="shared" ca="1" si="78"/>
        <v/>
      </c>
      <c r="AH269" s="235">
        <f t="shared" si="79"/>
        <v>45328</v>
      </c>
      <c r="AI269" s="137">
        <f t="shared" ca="1" si="80"/>
        <v>0</v>
      </c>
      <c r="AJ269" s="137">
        <f t="shared" si="81"/>
        <v>0</v>
      </c>
      <c r="AK269" s="137">
        <f t="shared" ca="1" si="82"/>
        <v>0</v>
      </c>
      <c r="AL269" s="137">
        <f t="shared" ca="1" si="83"/>
        <v>0</v>
      </c>
      <c r="AM269" s="137">
        <f t="shared" si="84"/>
        <v>0</v>
      </c>
      <c r="AN269" s="137">
        <f t="shared" ca="1" si="85"/>
        <v>0</v>
      </c>
      <c r="AO269" s="137">
        <f t="shared" ca="1" si="86"/>
        <v>0</v>
      </c>
      <c r="AP269" s="137">
        <f t="shared" ca="1" si="87"/>
        <v>0</v>
      </c>
      <c r="AQ269" s="137">
        <f t="shared" si="88"/>
        <v>0</v>
      </c>
      <c r="AR269" s="236">
        <f t="shared" ca="1" si="89"/>
        <v>0</v>
      </c>
      <c r="AT269" s="241">
        <f t="shared" ca="1" si="90"/>
        <v>28</v>
      </c>
      <c r="AV269" s="222">
        <f t="shared" ca="1" si="91"/>
        <v>0</v>
      </c>
      <c r="AW269" s="247">
        <f t="shared" si="92"/>
        <v>92</v>
      </c>
      <c r="AY269" s="239">
        <f ca="1">(AE269=5)*('  B  '!F$110=1)*OR(AND(AND(A269&gt;=S$220,A269&gt;=I$214),AND(A269&lt;=S$221,A269&lt;=I$215)),AND(AND(A269&gt;=S$230,A269&gt;=I$224),AND(A269&lt;=S$231,A269&lt;=I$225)),AND(AND(A269&gt;=S$240,A269&gt;=I$234),AND(A269&lt;=S$241,A269&lt;=I$235)))</f>
        <v>0</v>
      </c>
      <c r="BA269" s="222">
        <f t="shared" ca="1" si="93"/>
        <v>0</v>
      </c>
      <c r="BB269" s="55">
        <f t="shared" ca="1" si="94"/>
        <v>0</v>
      </c>
      <c r="BC269" s="247">
        <f t="shared" si="95"/>
        <v>182</v>
      </c>
      <c r="BE269" s="239">
        <f t="shared" ca="1" si="96"/>
        <v>0</v>
      </c>
      <c r="BG269" s="239">
        <f t="shared" ca="1" si="97"/>
        <v>0</v>
      </c>
      <c r="BI269" s="222"/>
      <c r="BJ269" s="137">
        <v>0</v>
      </c>
      <c r="BK269" s="137">
        <v>0</v>
      </c>
      <c r="BL269" s="137">
        <f t="shared" ca="1" si="98"/>
        <v>1</v>
      </c>
      <c r="BM269" s="137">
        <f t="shared" ca="1" si="99"/>
        <v>1</v>
      </c>
      <c r="BN269" s="137">
        <f ca="1">(A269&gt;=N_LFP_Startdatum)*IF('  B  '!F$110=1,NOT(OR(A269&gt;S$221,A269&gt;S$231,A269&gt;S$241)),IF(BB269&gt;BC269,0,1))</f>
        <v>1</v>
      </c>
      <c r="BO269" s="137">
        <f t="shared" ca="1" si="100"/>
        <v>1</v>
      </c>
      <c r="BP269" s="137">
        <v>0</v>
      </c>
      <c r="BQ269" s="137">
        <f t="shared" ca="1" si="101"/>
        <v>1</v>
      </c>
      <c r="BR269" s="653">
        <v>0</v>
      </c>
      <c r="BS269" s="224">
        <f ca="1">(A269&gt;=N_LFP_Startdatum)*IF('  B  '!F$110=1,NOT(OR(A269&gt;S$221,A269&gt;S$231,A269&gt;S$241)),IF(BB269&gt;BC269,0,1))</f>
        <v>1</v>
      </c>
      <c r="BU269" s="562">
        <f t="shared" ca="1" si="102"/>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103"/>
        <v>0</v>
      </c>
      <c r="CA269" s="156">
        <f t="shared" ca="1" si="104"/>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5"/>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6"/>
        <v>0</v>
      </c>
      <c r="CL269" s="270">
        <f t="shared" ca="1" si="107"/>
        <v>0</v>
      </c>
      <c r="CM269" s="265">
        <f t="shared" ca="1" si="108"/>
        <v>0</v>
      </c>
      <c r="CO269" s="222"/>
      <c r="CP269" s="137">
        <v>0</v>
      </c>
      <c r="CQ269" s="137">
        <v>0</v>
      </c>
      <c r="CR269" s="137">
        <v>0</v>
      </c>
      <c r="CS269" s="137">
        <f t="shared" ca="1" si="109"/>
        <v>0</v>
      </c>
      <c r="CT269" s="137">
        <f t="shared" ca="1" si="110"/>
        <v>0</v>
      </c>
      <c r="CU269" s="137">
        <f t="shared" ca="1" si="111"/>
        <v>0</v>
      </c>
      <c r="CV269" s="137">
        <v>0</v>
      </c>
      <c r="CW269" s="137">
        <f t="shared" ca="1" si="112"/>
        <v>0</v>
      </c>
      <c r="CX269" s="137">
        <v>0</v>
      </c>
      <c r="CY269" s="224">
        <f t="shared" ca="1" si="113"/>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23"/>
        <v>0</v>
      </c>
      <c r="DF269" s="279">
        <f t="shared" ca="1" si="124"/>
        <v>0</v>
      </c>
      <c r="DG269" s="280">
        <f t="shared" ca="1" si="125"/>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26"/>
        <v>0</v>
      </c>
      <c r="DN269" s="279">
        <f t="shared" ca="1" si="127"/>
        <v>0</v>
      </c>
      <c r="DO269" s="279">
        <f t="shared" ca="1" si="128"/>
        <v>0</v>
      </c>
    </row>
    <row r="270" spans="1:119" x14ac:dyDescent="0.25">
      <c r="A270" s="153">
        <f t="shared" si="116"/>
        <v>45329</v>
      </c>
      <c r="B270" s="154"/>
      <c r="C270" s="154"/>
      <c r="D270" s="154"/>
      <c r="E270" s="875" t="str">
        <f t="shared" ca="1" si="61"/>
        <v/>
      </c>
      <c r="F270" s="876"/>
      <c r="G270" s="667">
        <f t="shared" ca="1" si="117"/>
        <v>0</v>
      </c>
      <c r="H270" s="667">
        <f t="shared" ca="1" si="62"/>
        <v>0</v>
      </c>
      <c r="I270" s="667">
        <f t="shared" ca="1" si="63"/>
        <v>0</v>
      </c>
      <c r="J270"/>
      <c r="K270"/>
      <c r="P270" s="151">
        <f t="shared" si="64"/>
        <v>125</v>
      </c>
      <c r="R270" s="55">
        <f t="shared" si="65"/>
        <v>0</v>
      </c>
      <c r="S270" s="55">
        <f t="shared" si="66"/>
        <v>1</v>
      </c>
      <c r="U270" s="226">
        <f t="shared" si="118"/>
        <v>0</v>
      </c>
      <c r="V270" s="137">
        <f t="shared" ca="1" si="119"/>
        <v>0</v>
      </c>
      <c r="W270" s="137">
        <f t="shared" si="120"/>
        <v>0</v>
      </c>
      <c r="X270" s="137">
        <f t="shared" si="121"/>
        <v>0</v>
      </c>
      <c r="Y270" s="137">
        <f t="shared" ca="1" si="71"/>
        <v>0</v>
      </c>
      <c r="Z270" s="137">
        <f t="shared" ca="1" si="72"/>
        <v>0</v>
      </c>
      <c r="AA270" s="137">
        <f t="shared" ca="1" si="73"/>
        <v>0</v>
      </c>
      <c r="AB270" s="137">
        <f t="shared" ca="1" si="74"/>
        <v>0</v>
      </c>
      <c r="AC270" s="137">
        <f t="shared" ca="1" si="75"/>
        <v>0</v>
      </c>
      <c r="AD270" s="137">
        <f t="shared" ca="1" si="76"/>
        <v>0</v>
      </c>
      <c r="AE270" s="223">
        <f t="shared" ca="1" si="122"/>
        <v>0</v>
      </c>
      <c r="AF270" s="229" t="str">
        <f t="shared" ca="1" si="78"/>
        <v/>
      </c>
      <c r="AH270" s="235">
        <f t="shared" si="79"/>
        <v>45329</v>
      </c>
      <c r="AI270" s="137">
        <f t="shared" ca="1" si="80"/>
        <v>0</v>
      </c>
      <c r="AJ270" s="137">
        <f t="shared" si="81"/>
        <v>0</v>
      </c>
      <c r="AK270" s="137">
        <f t="shared" ca="1" si="82"/>
        <v>0</v>
      </c>
      <c r="AL270" s="137">
        <f t="shared" ca="1" si="83"/>
        <v>0</v>
      </c>
      <c r="AM270" s="137">
        <f t="shared" si="84"/>
        <v>0</v>
      </c>
      <c r="AN270" s="137">
        <f t="shared" ca="1" si="85"/>
        <v>0</v>
      </c>
      <c r="AO270" s="137">
        <f t="shared" ca="1" si="86"/>
        <v>0</v>
      </c>
      <c r="AP270" s="137">
        <f t="shared" ca="1" si="87"/>
        <v>0</v>
      </c>
      <c r="AQ270" s="137">
        <f t="shared" si="88"/>
        <v>0</v>
      </c>
      <c r="AR270" s="236">
        <f t="shared" ca="1" si="89"/>
        <v>0</v>
      </c>
      <c r="AT270" s="241">
        <f t="shared" ca="1" si="90"/>
        <v>28</v>
      </c>
      <c r="AV270" s="222">
        <f t="shared" ca="1" si="91"/>
        <v>0</v>
      </c>
      <c r="AW270" s="247">
        <f t="shared" si="92"/>
        <v>92</v>
      </c>
      <c r="AY270" s="239">
        <f ca="1">(AE270=5)*('  B  '!F$110=1)*OR(AND(AND(A270&gt;=S$220,A270&gt;=I$214),AND(A270&lt;=S$221,A270&lt;=I$215)),AND(AND(A270&gt;=S$230,A270&gt;=I$224),AND(A270&lt;=S$231,A270&lt;=I$225)),AND(AND(A270&gt;=S$240,A270&gt;=I$234),AND(A270&lt;=S$241,A270&lt;=I$235)))</f>
        <v>0</v>
      </c>
      <c r="BA270" s="222">
        <f t="shared" ca="1" si="93"/>
        <v>0</v>
      </c>
      <c r="BB270" s="55">
        <f t="shared" ca="1" si="94"/>
        <v>0</v>
      </c>
      <c r="BC270" s="247">
        <f t="shared" si="95"/>
        <v>182</v>
      </c>
      <c r="BE270" s="239">
        <f t="shared" ca="1" si="96"/>
        <v>0</v>
      </c>
      <c r="BG270" s="239">
        <f t="shared" ca="1" si="97"/>
        <v>0</v>
      </c>
      <c r="BI270" s="222"/>
      <c r="BJ270" s="137">
        <v>0</v>
      </c>
      <c r="BK270" s="137">
        <v>0</v>
      </c>
      <c r="BL270" s="137">
        <f t="shared" ca="1" si="98"/>
        <v>1</v>
      </c>
      <c r="BM270" s="137">
        <f t="shared" ca="1" si="99"/>
        <v>1</v>
      </c>
      <c r="BN270" s="137">
        <f ca="1">(A270&gt;=N_LFP_Startdatum)*IF('  B  '!F$110=1,NOT(OR(A270&gt;S$221,A270&gt;S$231,A270&gt;S$241)),IF(BB270&gt;BC270,0,1))</f>
        <v>1</v>
      </c>
      <c r="BO270" s="137">
        <f t="shared" ca="1" si="100"/>
        <v>1</v>
      </c>
      <c r="BP270" s="137">
        <v>0</v>
      </c>
      <c r="BQ270" s="137">
        <f t="shared" ca="1" si="101"/>
        <v>1</v>
      </c>
      <c r="BR270" s="653">
        <v>0</v>
      </c>
      <c r="BS270" s="224">
        <f ca="1">(A270&gt;=N_LFP_Startdatum)*IF('  B  '!F$110=1,NOT(OR(A270&gt;S$221,A270&gt;S$231,A270&gt;S$241)),IF(BB270&gt;BC270,0,1))</f>
        <v>1</v>
      </c>
      <c r="BU270" s="562">
        <f t="shared" ca="1" si="102"/>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103"/>
        <v>0</v>
      </c>
      <c r="CA270" s="156">
        <f t="shared" ca="1" si="104"/>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5"/>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6"/>
        <v>0</v>
      </c>
      <c r="CL270" s="270">
        <f t="shared" ca="1" si="107"/>
        <v>0</v>
      </c>
      <c r="CM270" s="265">
        <f t="shared" ca="1" si="108"/>
        <v>0</v>
      </c>
      <c r="CO270" s="222"/>
      <c r="CP270" s="137">
        <v>0</v>
      </c>
      <c r="CQ270" s="137">
        <v>0</v>
      </c>
      <c r="CR270" s="137">
        <v>0</v>
      </c>
      <c r="CS270" s="137">
        <f t="shared" ca="1" si="109"/>
        <v>0</v>
      </c>
      <c r="CT270" s="137">
        <f t="shared" ca="1" si="110"/>
        <v>0</v>
      </c>
      <c r="CU270" s="137">
        <f t="shared" ca="1" si="111"/>
        <v>0</v>
      </c>
      <c r="CV270" s="137">
        <v>0</v>
      </c>
      <c r="CW270" s="137">
        <f t="shared" ca="1" si="112"/>
        <v>0</v>
      </c>
      <c r="CX270" s="137">
        <v>0</v>
      </c>
      <c r="CY270" s="224">
        <f t="shared" ca="1" si="113"/>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23"/>
        <v>0</v>
      </c>
      <c r="DF270" s="279">
        <f t="shared" ca="1" si="124"/>
        <v>0</v>
      </c>
      <c r="DG270" s="280">
        <f t="shared" ca="1" si="125"/>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26"/>
        <v>0</v>
      </c>
      <c r="DN270" s="279">
        <f t="shared" ca="1" si="127"/>
        <v>0</v>
      </c>
      <c r="DO270" s="279">
        <f t="shared" ca="1" si="128"/>
        <v>0</v>
      </c>
    </row>
    <row r="271" spans="1:119" x14ac:dyDescent="0.25">
      <c r="A271" s="153">
        <f t="shared" si="116"/>
        <v>45330</v>
      </c>
      <c r="B271" s="154"/>
      <c r="C271" s="154"/>
      <c r="D271" s="154"/>
      <c r="E271" s="875" t="str">
        <f t="shared" ca="1" si="61"/>
        <v/>
      </c>
      <c r="F271" s="876"/>
      <c r="G271" s="667">
        <f t="shared" ca="1" si="117"/>
        <v>0</v>
      </c>
      <c r="H271" s="667">
        <f t="shared" ca="1" si="62"/>
        <v>0</v>
      </c>
      <c r="I271" s="667">
        <f t="shared" ca="1" si="63"/>
        <v>0</v>
      </c>
      <c r="J271"/>
      <c r="K271"/>
      <c r="P271" s="151">
        <f t="shared" si="64"/>
        <v>125</v>
      </c>
      <c r="R271" s="55">
        <f t="shared" si="65"/>
        <v>0</v>
      </c>
      <c r="S271" s="55">
        <f t="shared" si="66"/>
        <v>1</v>
      </c>
      <c r="U271" s="226">
        <f t="shared" si="118"/>
        <v>0</v>
      </c>
      <c r="V271" s="137">
        <f t="shared" ca="1" si="119"/>
        <v>0</v>
      </c>
      <c r="W271" s="137">
        <f t="shared" si="120"/>
        <v>0</v>
      </c>
      <c r="X271" s="137">
        <f t="shared" si="121"/>
        <v>0</v>
      </c>
      <c r="Y271" s="137">
        <f t="shared" ca="1" si="71"/>
        <v>0</v>
      </c>
      <c r="Z271" s="137">
        <f t="shared" ca="1" si="72"/>
        <v>0</v>
      </c>
      <c r="AA271" s="137">
        <f t="shared" ca="1" si="73"/>
        <v>0</v>
      </c>
      <c r="AB271" s="137">
        <f t="shared" ca="1" si="74"/>
        <v>0</v>
      </c>
      <c r="AC271" s="137">
        <f t="shared" ca="1" si="75"/>
        <v>0</v>
      </c>
      <c r="AD271" s="137">
        <f t="shared" ca="1" si="76"/>
        <v>0</v>
      </c>
      <c r="AE271" s="223">
        <f t="shared" ca="1" si="122"/>
        <v>0</v>
      </c>
      <c r="AF271" s="229" t="str">
        <f t="shared" ca="1" si="78"/>
        <v/>
      </c>
      <c r="AH271" s="235">
        <f t="shared" si="79"/>
        <v>45330</v>
      </c>
      <c r="AI271" s="137">
        <f t="shared" ca="1" si="80"/>
        <v>0</v>
      </c>
      <c r="AJ271" s="137">
        <f t="shared" si="81"/>
        <v>0</v>
      </c>
      <c r="AK271" s="137">
        <f t="shared" ca="1" si="82"/>
        <v>0</v>
      </c>
      <c r="AL271" s="137">
        <f t="shared" ca="1" si="83"/>
        <v>0</v>
      </c>
      <c r="AM271" s="137">
        <f t="shared" si="84"/>
        <v>0</v>
      </c>
      <c r="AN271" s="137">
        <f t="shared" ca="1" si="85"/>
        <v>0</v>
      </c>
      <c r="AO271" s="137">
        <f t="shared" ca="1" si="86"/>
        <v>0</v>
      </c>
      <c r="AP271" s="137">
        <f t="shared" ca="1" si="87"/>
        <v>0</v>
      </c>
      <c r="AQ271" s="137">
        <f t="shared" si="88"/>
        <v>0</v>
      </c>
      <c r="AR271" s="236">
        <f t="shared" ca="1" si="89"/>
        <v>0</v>
      </c>
      <c r="AT271" s="241">
        <f t="shared" ca="1" si="90"/>
        <v>28</v>
      </c>
      <c r="AV271" s="222">
        <f t="shared" ca="1" si="91"/>
        <v>0</v>
      </c>
      <c r="AW271" s="247">
        <f t="shared" si="92"/>
        <v>92</v>
      </c>
      <c r="AY271" s="239">
        <f ca="1">(AE271=5)*('  B  '!F$110=1)*OR(AND(AND(A271&gt;=S$220,A271&gt;=I$214),AND(A271&lt;=S$221,A271&lt;=I$215)),AND(AND(A271&gt;=S$230,A271&gt;=I$224),AND(A271&lt;=S$231,A271&lt;=I$225)),AND(AND(A271&gt;=S$240,A271&gt;=I$234),AND(A271&lt;=S$241,A271&lt;=I$235)))</f>
        <v>0</v>
      </c>
      <c r="BA271" s="222">
        <f t="shared" ca="1" si="93"/>
        <v>0</v>
      </c>
      <c r="BB271" s="55">
        <f t="shared" ca="1" si="94"/>
        <v>0</v>
      </c>
      <c r="BC271" s="247">
        <f t="shared" si="95"/>
        <v>182</v>
      </c>
      <c r="BE271" s="239">
        <f t="shared" ca="1" si="96"/>
        <v>0</v>
      </c>
      <c r="BG271" s="239">
        <f t="shared" ca="1" si="97"/>
        <v>0</v>
      </c>
      <c r="BI271" s="222"/>
      <c r="BJ271" s="137">
        <v>0</v>
      </c>
      <c r="BK271" s="137">
        <v>0</v>
      </c>
      <c r="BL271" s="137">
        <f t="shared" ca="1" si="98"/>
        <v>1</v>
      </c>
      <c r="BM271" s="137">
        <f t="shared" ca="1" si="99"/>
        <v>1</v>
      </c>
      <c r="BN271" s="137">
        <f ca="1">(A271&gt;=N_LFP_Startdatum)*IF('  B  '!F$110=1,NOT(OR(A271&gt;S$221,A271&gt;S$231,A271&gt;S$241)),IF(BB271&gt;BC271,0,1))</f>
        <v>1</v>
      </c>
      <c r="BO271" s="137">
        <f t="shared" ca="1" si="100"/>
        <v>1</v>
      </c>
      <c r="BP271" s="137">
        <v>0</v>
      </c>
      <c r="BQ271" s="137">
        <f t="shared" ca="1" si="101"/>
        <v>1</v>
      </c>
      <c r="BR271" s="653">
        <v>0</v>
      </c>
      <c r="BS271" s="224">
        <f ca="1">(A271&gt;=N_LFP_Startdatum)*IF('  B  '!F$110=1,NOT(OR(A271&gt;S$221,A271&gt;S$231,A271&gt;S$241)),IF(BB271&gt;BC271,0,1))</f>
        <v>1</v>
      </c>
      <c r="BU271" s="562">
        <f t="shared" ca="1" si="102"/>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103"/>
        <v>0</v>
      </c>
      <c r="CA271" s="156">
        <f t="shared" ca="1" si="104"/>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5"/>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6"/>
        <v>0</v>
      </c>
      <c r="CL271" s="270">
        <f t="shared" ca="1" si="107"/>
        <v>0</v>
      </c>
      <c r="CM271" s="265">
        <f t="shared" ca="1" si="108"/>
        <v>0</v>
      </c>
      <c r="CO271" s="222"/>
      <c r="CP271" s="137">
        <v>0</v>
      </c>
      <c r="CQ271" s="137">
        <v>0</v>
      </c>
      <c r="CR271" s="137">
        <v>0</v>
      </c>
      <c r="CS271" s="137">
        <f t="shared" ca="1" si="109"/>
        <v>0</v>
      </c>
      <c r="CT271" s="137">
        <f t="shared" ca="1" si="110"/>
        <v>0</v>
      </c>
      <c r="CU271" s="137">
        <f t="shared" ca="1" si="111"/>
        <v>0</v>
      </c>
      <c r="CV271" s="137">
        <v>0</v>
      </c>
      <c r="CW271" s="137">
        <f t="shared" ca="1" si="112"/>
        <v>0</v>
      </c>
      <c r="CX271" s="137">
        <v>0</v>
      </c>
      <c r="CY271" s="224">
        <f t="shared" ca="1" si="113"/>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23"/>
        <v>0</v>
      </c>
      <c r="DF271" s="279">
        <f t="shared" ca="1" si="124"/>
        <v>0</v>
      </c>
      <c r="DG271" s="280">
        <f t="shared" ca="1" si="125"/>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26"/>
        <v>0</v>
      </c>
      <c r="DN271" s="279">
        <f t="shared" ca="1" si="127"/>
        <v>0</v>
      </c>
      <c r="DO271" s="279">
        <f t="shared" ca="1" si="128"/>
        <v>0</v>
      </c>
    </row>
    <row r="272" spans="1:119" x14ac:dyDescent="0.25">
      <c r="A272" s="153">
        <f t="shared" si="116"/>
        <v>45331</v>
      </c>
      <c r="B272" s="154"/>
      <c r="C272" s="154"/>
      <c r="D272" s="154"/>
      <c r="E272" s="875" t="str">
        <f t="shared" ca="1" si="61"/>
        <v/>
      </c>
      <c r="F272" s="876"/>
      <c r="G272" s="667">
        <f t="shared" ca="1" si="117"/>
        <v>0</v>
      </c>
      <c r="H272" s="667">
        <f t="shared" ca="1" si="62"/>
        <v>0</v>
      </c>
      <c r="I272" s="667">
        <f t="shared" ca="1" si="63"/>
        <v>0</v>
      </c>
      <c r="J272"/>
      <c r="K272"/>
      <c r="P272" s="151">
        <f t="shared" si="64"/>
        <v>125</v>
      </c>
      <c r="R272" s="55">
        <f t="shared" si="65"/>
        <v>0</v>
      </c>
      <c r="S272" s="55">
        <f t="shared" si="66"/>
        <v>1</v>
      </c>
      <c r="U272" s="226">
        <f t="shared" si="118"/>
        <v>0</v>
      </c>
      <c r="V272" s="137">
        <f t="shared" ca="1" si="119"/>
        <v>0</v>
      </c>
      <c r="W272" s="137">
        <f t="shared" si="120"/>
        <v>0</v>
      </c>
      <c r="X272" s="137">
        <f t="shared" si="121"/>
        <v>0</v>
      </c>
      <c r="Y272" s="137">
        <f t="shared" ca="1" si="71"/>
        <v>0</v>
      </c>
      <c r="Z272" s="137">
        <f t="shared" ca="1" si="72"/>
        <v>0</v>
      </c>
      <c r="AA272" s="137">
        <f t="shared" ca="1" si="73"/>
        <v>0</v>
      </c>
      <c r="AB272" s="137">
        <f t="shared" ca="1" si="74"/>
        <v>0</v>
      </c>
      <c r="AC272" s="137">
        <f t="shared" ca="1" si="75"/>
        <v>0</v>
      </c>
      <c r="AD272" s="137">
        <f t="shared" ca="1" si="76"/>
        <v>0</v>
      </c>
      <c r="AE272" s="223">
        <f t="shared" ca="1" si="122"/>
        <v>0</v>
      </c>
      <c r="AF272" s="229" t="str">
        <f t="shared" ca="1" si="78"/>
        <v/>
      </c>
      <c r="AH272" s="235">
        <f t="shared" si="79"/>
        <v>45331</v>
      </c>
      <c r="AI272" s="137">
        <f t="shared" ca="1" si="80"/>
        <v>0</v>
      </c>
      <c r="AJ272" s="137">
        <f t="shared" si="81"/>
        <v>0</v>
      </c>
      <c r="AK272" s="137">
        <f t="shared" ca="1" si="82"/>
        <v>0</v>
      </c>
      <c r="AL272" s="137">
        <f t="shared" ca="1" si="83"/>
        <v>0</v>
      </c>
      <c r="AM272" s="137">
        <f t="shared" si="84"/>
        <v>0</v>
      </c>
      <c r="AN272" s="137">
        <f t="shared" ca="1" si="85"/>
        <v>0</v>
      </c>
      <c r="AO272" s="137">
        <f t="shared" ca="1" si="86"/>
        <v>0</v>
      </c>
      <c r="AP272" s="137">
        <f t="shared" ca="1" si="87"/>
        <v>0</v>
      </c>
      <c r="AQ272" s="137">
        <f t="shared" si="88"/>
        <v>0</v>
      </c>
      <c r="AR272" s="236">
        <f t="shared" ca="1" si="89"/>
        <v>0</v>
      </c>
      <c r="AT272" s="241">
        <f t="shared" ca="1" si="90"/>
        <v>28</v>
      </c>
      <c r="AV272" s="222">
        <f t="shared" ca="1" si="91"/>
        <v>0</v>
      </c>
      <c r="AW272" s="247">
        <f t="shared" si="92"/>
        <v>92</v>
      </c>
      <c r="AY272" s="239">
        <f ca="1">(AE272=5)*('  B  '!F$110=1)*OR(AND(AND(A272&gt;=S$220,A272&gt;=I$214),AND(A272&lt;=S$221,A272&lt;=I$215)),AND(AND(A272&gt;=S$230,A272&gt;=I$224),AND(A272&lt;=S$231,A272&lt;=I$225)),AND(AND(A272&gt;=S$240,A272&gt;=I$234),AND(A272&lt;=S$241,A272&lt;=I$235)))</f>
        <v>0</v>
      </c>
      <c r="BA272" s="222">
        <f t="shared" ca="1" si="93"/>
        <v>0</v>
      </c>
      <c r="BB272" s="55">
        <f t="shared" ca="1" si="94"/>
        <v>0</v>
      </c>
      <c r="BC272" s="247">
        <f t="shared" si="95"/>
        <v>182</v>
      </c>
      <c r="BE272" s="239">
        <f t="shared" ca="1" si="96"/>
        <v>0</v>
      </c>
      <c r="BG272" s="239">
        <f t="shared" ca="1" si="97"/>
        <v>0</v>
      </c>
      <c r="BI272" s="222"/>
      <c r="BJ272" s="137">
        <v>0</v>
      </c>
      <c r="BK272" s="137">
        <v>0</v>
      </c>
      <c r="BL272" s="137">
        <f t="shared" ca="1" si="98"/>
        <v>1</v>
      </c>
      <c r="BM272" s="137">
        <f t="shared" ca="1" si="99"/>
        <v>1</v>
      </c>
      <c r="BN272" s="137">
        <f ca="1">(A272&gt;=N_LFP_Startdatum)*IF('  B  '!F$110=1,NOT(OR(A272&gt;S$221,A272&gt;S$231,A272&gt;S$241)),IF(BB272&gt;BC272,0,1))</f>
        <v>1</v>
      </c>
      <c r="BO272" s="137">
        <f t="shared" ca="1" si="100"/>
        <v>1</v>
      </c>
      <c r="BP272" s="137">
        <v>0</v>
      </c>
      <c r="BQ272" s="137">
        <f t="shared" ca="1" si="101"/>
        <v>1</v>
      </c>
      <c r="BR272" s="653">
        <v>0</v>
      </c>
      <c r="BS272" s="224">
        <f ca="1">(A272&gt;=N_LFP_Startdatum)*IF('  B  '!F$110=1,NOT(OR(A272&gt;S$221,A272&gt;S$231,A272&gt;S$241)),IF(BB272&gt;BC272,0,1))</f>
        <v>1</v>
      </c>
      <c r="BU272" s="562">
        <f t="shared" ca="1" si="102"/>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103"/>
        <v>0</v>
      </c>
      <c r="CA272" s="156">
        <f t="shared" ca="1" si="104"/>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5"/>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6"/>
        <v>0</v>
      </c>
      <c r="CL272" s="270">
        <f t="shared" ca="1" si="107"/>
        <v>0</v>
      </c>
      <c r="CM272" s="265">
        <f t="shared" ca="1" si="108"/>
        <v>0</v>
      </c>
      <c r="CO272" s="222"/>
      <c r="CP272" s="137">
        <v>0</v>
      </c>
      <c r="CQ272" s="137">
        <v>0</v>
      </c>
      <c r="CR272" s="137">
        <v>0</v>
      </c>
      <c r="CS272" s="137">
        <f t="shared" ca="1" si="109"/>
        <v>0</v>
      </c>
      <c r="CT272" s="137">
        <f t="shared" ca="1" si="110"/>
        <v>0</v>
      </c>
      <c r="CU272" s="137">
        <f t="shared" ca="1" si="111"/>
        <v>0</v>
      </c>
      <c r="CV272" s="137">
        <v>0</v>
      </c>
      <c r="CW272" s="137">
        <f t="shared" ca="1" si="112"/>
        <v>0</v>
      </c>
      <c r="CX272" s="137">
        <v>0</v>
      </c>
      <c r="CY272" s="224">
        <f t="shared" ca="1" si="113"/>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23"/>
        <v>0</v>
      </c>
      <c r="DF272" s="279">
        <f t="shared" ca="1" si="124"/>
        <v>0</v>
      </c>
      <c r="DG272" s="280">
        <f t="shared" ca="1" si="125"/>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26"/>
        <v>0</v>
      </c>
      <c r="DN272" s="279">
        <f t="shared" ca="1" si="127"/>
        <v>0</v>
      </c>
      <c r="DO272" s="279">
        <f t="shared" ca="1" si="128"/>
        <v>0</v>
      </c>
    </row>
    <row r="273" spans="1:119" x14ac:dyDescent="0.25">
      <c r="A273" s="153">
        <f t="shared" si="116"/>
        <v>45332</v>
      </c>
      <c r="B273" s="154"/>
      <c r="C273" s="154"/>
      <c r="D273" s="154"/>
      <c r="E273" s="875" t="str">
        <f t="shared" ca="1" si="61"/>
        <v/>
      </c>
      <c r="F273" s="876"/>
      <c r="G273" s="667">
        <f ca="1">MAX(0,(N_ArbeitsstundenSollProKT*BU273-BV273)*OFFSET(BI273,0,AE273,1,1))</f>
        <v>0</v>
      </c>
      <c r="H273" s="667">
        <f t="shared" ca="1" si="62"/>
        <v>0</v>
      </c>
      <c r="I273" s="667">
        <f t="shared" ca="1" si="63"/>
        <v>0</v>
      </c>
      <c r="J273"/>
      <c r="K273"/>
      <c r="P273" s="151">
        <f t="shared" si="64"/>
        <v>125</v>
      </c>
      <c r="R273" s="55">
        <f t="shared" si="65"/>
        <v>0</v>
      </c>
      <c r="S273" s="55">
        <f t="shared" si="66"/>
        <v>1</v>
      </c>
      <c r="U273" s="226">
        <f t="shared" si="118"/>
        <v>0</v>
      </c>
      <c r="V273" s="137">
        <f t="shared" ca="1" si="119"/>
        <v>0</v>
      </c>
      <c r="W273" s="137">
        <f t="shared" si="120"/>
        <v>0</v>
      </c>
      <c r="X273" s="137">
        <f t="shared" si="121"/>
        <v>0</v>
      </c>
      <c r="Y273" s="137">
        <f t="shared" ca="1" si="71"/>
        <v>0</v>
      </c>
      <c r="Z273" s="137">
        <f t="shared" ca="1" si="72"/>
        <v>0</v>
      </c>
      <c r="AA273" s="137">
        <f t="shared" ca="1" si="73"/>
        <v>0</v>
      </c>
      <c r="AB273" s="137">
        <f t="shared" ca="1" si="74"/>
        <v>0</v>
      </c>
      <c r="AC273" s="137">
        <f t="shared" ca="1" si="75"/>
        <v>0</v>
      </c>
      <c r="AD273" s="137">
        <f t="shared" ca="1" si="76"/>
        <v>0</v>
      </c>
      <c r="AE273" s="223">
        <f t="shared" ca="1" si="122"/>
        <v>0</v>
      </c>
      <c r="AF273" s="229" t="str">
        <f t="shared" ca="1" si="78"/>
        <v/>
      </c>
      <c r="AH273" s="235">
        <f t="shared" si="79"/>
        <v>45332</v>
      </c>
      <c r="AI273" s="137">
        <f t="shared" ca="1" si="80"/>
        <v>0</v>
      </c>
      <c r="AJ273" s="137">
        <f t="shared" si="81"/>
        <v>0</v>
      </c>
      <c r="AK273" s="137">
        <f t="shared" ca="1" si="82"/>
        <v>0</v>
      </c>
      <c r="AL273" s="137">
        <f t="shared" ca="1" si="83"/>
        <v>0</v>
      </c>
      <c r="AM273" s="137">
        <f t="shared" si="84"/>
        <v>0</v>
      </c>
      <c r="AN273" s="137">
        <f t="shared" ca="1" si="85"/>
        <v>0</v>
      </c>
      <c r="AO273" s="137">
        <f t="shared" ca="1" si="86"/>
        <v>0</v>
      </c>
      <c r="AP273" s="137">
        <f t="shared" ca="1" si="87"/>
        <v>0</v>
      </c>
      <c r="AQ273" s="137">
        <f t="shared" si="88"/>
        <v>0</v>
      </c>
      <c r="AR273" s="236">
        <f t="shared" ca="1" si="89"/>
        <v>0</v>
      </c>
      <c r="AT273" s="241">
        <f t="shared" ca="1" si="90"/>
        <v>28</v>
      </c>
      <c r="AV273" s="222">
        <f t="shared" ca="1" si="91"/>
        <v>0</v>
      </c>
      <c r="AW273" s="247">
        <f t="shared" si="92"/>
        <v>92</v>
      </c>
      <c r="AY273" s="239">
        <f ca="1">(AE273=5)*('  B  '!F$110=1)*OR(AND(AND(A273&gt;=S$220,A273&gt;=I$214),AND(A273&lt;=S$221,A273&lt;=I$215)),AND(AND(A273&gt;=S$230,A273&gt;=I$224),AND(A273&lt;=S$231,A273&lt;=I$225)),AND(AND(A273&gt;=S$240,A273&gt;=I$234),AND(A273&lt;=S$241,A273&lt;=I$235)))</f>
        <v>0</v>
      </c>
      <c r="BA273" s="222">
        <f t="shared" ca="1" si="93"/>
        <v>0</v>
      </c>
      <c r="BB273" s="55">
        <f t="shared" ca="1" si="94"/>
        <v>0</v>
      </c>
      <c r="BC273" s="247">
        <f t="shared" si="95"/>
        <v>182</v>
      </c>
      <c r="BE273" s="239">
        <f t="shared" ca="1" si="96"/>
        <v>0</v>
      </c>
      <c r="BG273" s="239">
        <f t="shared" ca="1" si="97"/>
        <v>0</v>
      </c>
      <c r="BI273" s="222"/>
      <c r="BJ273" s="137">
        <v>0</v>
      </c>
      <c r="BK273" s="137">
        <v>0</v>
      </c>
      <c r="BL273" s="137">
        <f t="shared" ca="1" si="98"/>
        <v>1</v>
      </c>
      <c r="BM273" s="137">
        <f t="shared" ca="1" si="99"/>
        <v>1</v>
      </c>
      <c r="BN273" s="137">
        <f ca="1">(A273&gt;=N_LFP_Startdatum)*IF('  B  '!F$110=1,NOT(OR(A273&gt;S$221,A273&gt;S$231,A273&gt;S$241)),IF(BB273&gt;BC273,0,1))</f>
        <v>1</v>
      </c>
      <c r="BO273" s="137">
        <f t="shared" ca="1" si="100"/>
        <v>1</v>
      </c>
      <c r="BP273" s="137">
        <v>0</v>
      </c>
      <c r="BQ273" s="137">
        <f t="shared" ca="1" si="101"/>
        <v>1</v>
      </c>
      <c r="BR273" s="653">
        <v>0</v>
      </c>
      <c r="BS273" s="224">
        <f ca="1">(A273&gt;=N_LFP_Startdatum)*IF('  B  '!F$110=1,NOT(OR(A273&gt;S$221,A273&gt;S$231,A273&gt;S$241)),IF(BB273&gt;BC273,0,1))</f>
        <v>1</v>
      </c>
      <c r="BU273" s="562">
        <f t="shared" ca="1" si="102"/>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103"/>
        <v>0</v>
      </c>
      <c r="CA273" s="156">
        <f t="shared" ca="1" si="104"/>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5"/>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6"/>
        <v>0</v>
      </c>
      <c r="CL273" s="270">
        <f t="shared" ca="1" si="107"/>
        <v>0</v>
      </c>
      <c r="CM273" s="265">
        <f t="shared" ca="1" si="108"/>
        <v>0</v>
      </c>
      <c r="CO273" s="222"/>
      <c r="CP273" s="137">
        <v>0</v>
      </c>
      <c r="CQ273" s="137">
        <v>0</v>
      </c>
      <c r="CR273" s="137">
        <v>0</v>
      </c>
      <c r="CS273" s="137">
        <f t="shared" ca="1" si="109"/>
        <v>0</v>
      </c>
      <c r="CT273" s="137">
        <f t="shared" ca="1" si="110"/>
        <v>0</v>
      </c>
      <c r="CU273" s="137">
        <f t="shared" ca="1" si="111"/>
        <v>0</v>
      </c>
      <c r="CV273" s="137">
        <v>0</v>
      </c>
      <c r="CW273" s="137">
        <f t="shared" ca="1" si="112"/>
        <v>0</v>
      </c>
      <c r="CX273" s="137">
        <v>0</v>
      </c>
      <c r="CY273" s="224">
        <f t="shared" ca="1" si="113"/>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23"/>
        <v>0</v>
      </c>
      <c r="DF273" s="279">
        <f t="shared" ca="1" si="124"/>
        <v>0</v>
      </c>
      <c r="DG273" s="280">
        <f t="shared" ca="1" si="125"/>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26"/>
        <v>0</v>
      </c>
      <c r="DN273" s="279">
        <f t="shared" ca="1" si="127"/>
        <v>0</v>
      </c>
      <c r="DO273" s="279">
        <f t="shared" ca="1" si="128"/>
        <v>0</v>
      </c>
    </row>
    <row r="274" spans="1:119" x14ac:dyDescent="0.25">
      <c r="A274" s="153">
        <f t="shared" si="116"/>
        <v>45333</v>
      </c>
      <c r="B274" s="154"/>
      <c r="C274" s="154"/>
      <c r="D274" s="154"/>
      <c r="E274" s="875" t="str">
        <f t="shared" ca="1" si="61"/>
        <v/>
      </c>
      <c r="F274" s="876"/>
      <c r="G274" s="667">
        <f t="shared" ca="1" si="117"/>
        <v>0</v>
      </c>
      <c r="H274" s="667">
        <f t="shared" ca="1" si="62"/>
        <v>0</v>
      </c>
      <c r="I274" s="667">
        <f t="shared" ca="1" si="63"/>
        <v>0</v>
      </c>
      <c r="J274"/>
      <c r="K274"/>
      <c r="P274" s="151">
        <f t="shared" si="64"/>
        <v>125</v>
      </c>
      <c r="R274" s="55">
        <f t="shared" si="65"/>
        <v>0</v>
      </c>
      <c r="S274" s="55">
        <f t="shared" si="66"/>
        <v>1</v>
      </c>
      <c r="U274" s="226">
        <f t="shared" si="118"/>
        <v>0</v>
      </c>
      <c r="V274" s="137">
        <f t="shared" ca="1" si="119"/>
        <v>0</v>
      </c>
      <c r="W274" s="137">
        <f t="shared" si="120"/>
        <v>0</v>
      </c>
      <c r="X274" s="137">
        <f t="shared" si="121"/>
        <v>0</v>
      </c>
      <c r="Y274" s="137">
        <f t="shared" ca="1" si="71"/>
        <v>0</v>
      </c>
      <c r="Z274" s="137">
        <f t="shared" ca="1" si="72"/>
        <v>0</v>
      </c>
      <c r="AA274" s="137">
        <f t="shared" ca="1" si="73"/>
        <v>0</v>
      </c>
      <c r="AB274" s="137">
        <f t="shared" ca="1" si="74"/>
        <v>0</v>
      </c>
      <c r="AC274" s="137">
        <f t="shared" ca="1" si="75"/>
        <v>0</v>
      </c>
      <c r="AD274" s="137">
        <f t="shared" ca="1" si="76"/>
        <v>0</v>
      </c>
      <c r="AE274" s="223">
        <f t="shared" ca="1" si="122"/>
        <v>0</v>
      </c>
      <c r="AF274" s="229" t="str">
        <f t="shared" ca="1" si="78"/>
        <v/>
      </c>
      <c r="AH274" s="235">
        <f t="shared" si="79"/>
        <v>45333</v>
      </c>
      <c r="AI274" s="137">
        <f t="shared" ca="1" si="80"/>
        <v>0</v>
      </c>
      <c r="AJ274" s="137">
        <f t="shared" si="81"/>
        <v>0</v>
      </c>
      <c r="AK274" s="137">
        <f t="shared" ca="1" si="82"/>
        <v>0</v>
      </c>
      <c r="AL274" s="137">
        <f t="shared" ca="1" si="83"/>
        <v>0</v>
      </c>
      <c r="AM274" s="137">
        <f t="shared" si="84"/>
        <v>0</v>
      </c>
      <c r="AN274" s="137">
        <f t="shared" ca="1" si="85"/>
        <v>0</v>
      </c>
      <c r="AO274" s="137">
        <f t="shared" ca="1" si="86"/>
        <v>0</v>
      </c>
      <c r="AP274" s="137">
        <f t="shared" ca="1" si="87"/>
        <v>0</v>
      </c>
      <c r="AQ274" s="137">
        <f t="shared" si="88"/>
        <v>0</v>
      </c>
      <c r="AR274" s="236">
        <f t="shared" ca="1" si="89"/>
        <v>0</v>
      </c>
      <c r="AT274" s="241">
        <f t="shared" ca="1" si="90"/>
        <v>28</v>
      </c>
      <c r="AV274" s="222">
        <f t="shared" ca="1" si="91"/>
        <v>0</v>
      </c>
      <c r="AW274" s="247">
        <f t="shared" si="92"/>
        <v>92</v>
      </c>
      <c r="AY274" s="239">
        <f ca="1">(AE274=5)*('  B  '!F$110=1)*OR(AND(AND(A274&gt;=S$220,A274&gt;=I$214),AND(A274&lt;=S$221,A274&lt;=I$215)),AND(AND(A274&gt;=S$230,A274&gt;=I$224),AND(A274&lt;=S$231,A274&lt;=I$225)),AND(AND(A274&gt;=S$240,A274&gt;=I$234),AND(A274&lt;=S$241,A274&lt;=I$235)))</f>
        <v>0</v>
      </c>
      <c r="BA274" s="222">
        <f t="shared" ca="1" si="93"/>
        <v>0</v>
      </c>
      <c r="BB274" s="55">
        <f t="shared" ca="1" si="94"/>
        <v>0</v>
      </c>
      <c r="BC274" s="247">
        <f t="shared" si="95"/>
        <v>182</v>
      </c>
      <c r="BE274" s="239">
        <f t="shared" ca="1" si="96"/>
        <v>0</v>
      </c>
      <c r="BG274" s="239">
        <f t="shared" ca="1" si="97"/>
        <v>0</v>
      </c>
      <c r="BI274" s="222"/>
      <c r="BJ274" s="137">
        <v>0</v>
      </c>
      <c r="BK274" s="137">
        <v>0</v>
      </c>
      <c r="BL274" s="137">
        <f t="shared" ca="1" si="98"/>
        <v>1</v>
      </c>
      <c r="BM274" s="137">
        <f t="shared" ca="1" si="99"/>
        <v>1</v>
      </c>
      <c r="BN274" s="137">
        <f ca="1">(A274&gt;=N_LFP_Startdatum)*IF('  B  '!F$110=1,NOT(OR(A274&gt;S$221,A274&gt;S$231,A274&gt;S$241)),IF(BB274&gt;BC274,0,1))</f>
        <v>1</v>
      </c>
      <c r="BO274" s="137">
        <f t="shared" ca="1" si="100"/>
        <v>1</v>
      </c>
      <c r="BP274" s="137">
        <v>0</v>
      </c>
      <c r="BQ274" s="137">
        <f t="shared" ca="1" si="101"/>
        <v>1</v>
      </c>
      <c r="BR274" s="653">
        <v>0</v>
      </c>
      <c r="BS274" s="224">
        <f ca="1">(A274&gt;=N_LFP_Startdatum)*IF('  B  '!F$110=1,NOT(OR(A274&gt;S$221,A274&gt;S$231,A274&gt;S$241)),IF(BB274&gt;BC274,0,1))</f>
        <v>1</v>
      </c>
      <c r="BU274" s="562">
        <f t="shared" ca="1" si="102"/>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103"/>
        <v>0</v>
      </c>
      <c r="CA274" s="156">
        <f t="shared" ca="1" si="104"/>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5"/>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6"/>
        <v>0</v>
      </c>
      <c r="CL274" s="270">
        <f t="shared" ca="1" si="107"/>
        <v>0</v>
      </c>
      <c r="CM274" s="265">
        <f t="shared" ca="1" si="108"/>
        <v>0</v>
      </c>
      <c r="CO274" s="222"/>
      <c r="CP274" s="137">
        <v>0</v>
      </c>
      <c r="CQ274" s="137">
        <v>0</v>
      </c>
      <c r="CR274" s="137">
        <v>0</v>
      </c>
      <c r="CS274" s="137">
        <f t="shared" ca="1" si="109"/>
        <v>0</v>
      </c>
      <c r="CT274" s="137">
        <f t="shared" ca="1" si="110"/>
        <v>0</v>
      </c>
      <c r="CU274" s="137">
        <f t="shared" ca="1" si="111"/>
        <v>0</v>
      </c>
      <c r="CV274" s="137">
        <v>0</v>
      </c>
      <c r="CW274" s="137">
        <f t="shared" ca="1" si="112"/>
        <v>0</v>
      </c>
      <c r="CX274" s="137">
        <v>0</v>
      </c>
      <c r="CY274" s="224">
        <f t="shared" ca="1" si="113"/>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23"/>
        <v>0</v>
      </c>
      <c r="DF274" s="279">
        <f t="shared" ca="1" si="124"/>
        <v>0</v>
      </c>
      <c r="DG274" s="280">
        <f t="shared" ca="1" si="125"/>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26"/>
        <v>0</v>
      </c>
      <c r="DN274" s="279">
        <f t="shared" ca="1" si="127"/>
        <v>0</v>
      </c>
      <c r="DO274" s="279">
        <f t="shared" ca="1" si="128"/>
        <v>0</v>
      </c>
    </row>
    <row r="275" spans="1:119" x14ac:dyDescent="0.25">
      <c r="A275" s="153">
        <f t="shared" si="116"/>
        <v>45334</v>
      </c>
      <c r="B275" s="154"/>
      <c r="C275" s="154"/>
      <c r="D275" s="154"/>
      <c r="E275" s="875" t="str">
        <f t="shared" ca="1" si="61"/>
        <v/>
      </c>
      <c r="F275" s="876"/>
      <c r="G275" s="667">
        <f t="shared" ca="1" si="117"/>
        <v>0</v>
      </c>
      <c r="H275" s="667">
        <f t="shared" ca="1" si="62"/>
        <v>0</v>
      </c>
      <c r="I275" s="667">
        <f t="shared" ca="1" si="63"/>
        <v>0</v>
      </c>
      <c r="J275"/>
      <c r="K275"/>
      <c r="P275" s="151">
        <f t="shared" si="64"/>
        <v>125</v>
      </c>
      <c r="R275" s="55">
        <f t="shared" si="65"/>
        <v>0</v>
      </c>
      <c r="S275" s="55">
        <f t="shared" si="66"/>
        <v>1</v>
      </c>
      <c r="U275" s="226">
        <f t="shared" si="118"/>
        <v>0</v>
      </c>
      <c r="V275" s="137">
        <f t="shared" ca="1" si="119"/>
        <v>0</v>
      </c>
      <c r="W275" s="137">
        <f t="shared" si="120"/>
        <v>0</v>
      </c>
      <c r="X275" s="137">
        <f t="shared" si="121"/>
        <v>0</v>
      </c>
      <c r="Y275" s="137">
        <f t="shared" ca="1" si="71"/>
        <v>0</v>
      </c>
      <c r="Z275" s="137">
        <f t="shared" ca="1" si="72"/>
        <v>0</v>
      </c>
      <c r="AA275" s="137">
        <f t="shared" ca="1" si="73"/>
        <v>0</v>
      </c>
      <c r="AB275" s="137">
        <f t="shared" ca="1" si="74"/>
        <v>0</v>
      </c>
      <c r="AC275" s="137">
        <f t="shared" ca="1" si="75"/>
        <v>0</v>
      </c>
      <c r="AD275" s="137">
        <f t="shared" ca="1" si="76"/>
        <v>0</v>
      </c>
      <c r="AE275" s="223">
        <f t="shared" ca="1" si="122"/>
        <v>0</v>
      </c>
      <c r="AF275" s="229" t="str">
        <f t="shared" ca="1" si="78"/>
        <v/>
      </c>
      <c r="AH275" s="235">
        <f t="shared" si="79"/>
        <v>45334</v>
      </c>
      <c r="AI275" s="137">
        <f t="shared" ca="1" si="80"/>
        <v>0</v>
      </c>
      <c r="AJ275" s="137">
        <f t="shared" si="81"/>
        <v>0</v>
      </c>
      <c r="AK275" s="137">
        <f t="shared" ca="1" si="82"/>
        <v>0</v>
      </c>
      <c r="AL275" s="137">
        <f t="shared" ca="1" si="83"/>
        <v>0</v>
      </c>
      <c r="AM275" s="137">
        <f t="shared" si="84"/>
        <v>0</v>
      </c>
      <c r="AN275" s="137">
        <f t="shared" ca="1" si="85"/>
        <v>0</v>
      </c>
      <c r="AO275" s="137">
        <f t="shared" ca="1" si="86"/>
        <v>0</v>
      </c>
      <c r="AP275" s="137">
        <f t="shared" ca="1" si="87"/>
        <v>0</v>
      </c>
      <c r="AQ275" s="137">
        <f t="shared" si="88"/>
        <v>0</v>
      </c>
      <c r="AR275" s="236">
        <f t="shared" ca="1" si="89"/>
        <v>0</v>
      </c>
      <c r="AT275" s="241">
        <f t="shared" ca="1" si="90"/>
        <v>28</v>
      </c>
      <c r="AV275" s="222">
        <f t="shared" ca="1" si="91"/>
        <v>0</v>
      </c>
      <c r="AW275" s="247">
        <f t="shared" si="92"/>
        <v>92</v>
      </c>
      <c r="AY275" s="239">
        <f ca="1">(AE275=5)*('  B  '!F$110=1)*OR(AND(AND(A275&gt;=S$220,A275&gt;=I$214),AND(A275&lt;=S$221,A275&lt;=I$215)),AND(AND(A275&gt;=S$230,A275&gt;=I$224),AND(A275&lt;=S$231,A275&lt;=I$225)),AND(AND(A275&gt;=S$240,A275&gt;=I$234),AND(A275&lt;=S$241,A275&lt;=I$235)))</f>
        <v>0</v>
      </c>
      <c r="BA275" s="222">
        <f t="shared" ca="1" si="93"/>
        <v>0</v>
      </c>
      <c r="BB275" s="55">
        <f t="shared" ca="1" si="94"/>
        <v>0</v>
      </c>
      <c r="BC275" s="247">
        <f t="shared" si="95"/>
        <v>182</v>
      </c>
      <c r="BE275" s="239">
        <f t="shared" ca="1" si="96"/>
        <v>0</v>
      </c>
      <c r="BG275" s="239">
        <f t="shared" ca="1" si="97"/>
        <v>0</v>
      </c>
      <c r="BI275" s="222"/>
      <c r="BJ275" s="137">
        <v>0</v>
      </c>
      <c r="BK275" s="137">
        <v>0</v>
      </c>
      <c r="BL275" s="137">
        <f t="shared" ca="1" si="98"/>
        <v>1</v>
      </c>
      <c r="BM275" s="137">
        <f t="shared" ca="1" si="99"/>
        <v>1</v>
      </c>
      <c r="BN275" s="137">
        <f ca="1">(A275&gt;=N_LFP_Startdatum)*IF('  B  '!F$110=1,NOT(OR(A275&gt;S$221,A275&gt;S$231,A275&gt;S$241)),IF(BB275&gt;BC275,0,1))</f>
        <v>1</v>
      </c>
      <c r="BO275" s="137">
        <f t="shared" ca="1" si="100"/>
        <v>1</v>
      </c>
      <c r="BP275" s="137">
        <v>0</v>
      </c>
      <c r="BQ275" s="137">
        <f t="shared" ca="1" si="101"/>
        <v>1</v>
      </c>
      <c r="BR275" s="653">
        <v>0</v>
      </c>
      <c r="BS275" s="224">
        <f ca="1">(A275&gt;=N_LFP_Startdatum)*IF('  B  '!F$110=1,NOT(OR(A275&gt;S$221,A275&gt;S$231,A275&gt;S$241)),IF(BB275&gt;BC275,0,1))</f>
        <v>1</v>
      </c>
      <c r="BU275" s="562">
        <f t="shared" ca="1" si="102"/>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103"/>
        <v>0</v>
      </c>
      <c r="CA275" s="156">
        <f t="shared" ca="1" si="104"/>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5"/>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6"/>
        <v>0</v>
      </c>
      <c r="CL275" s="270">
        <f t="shared" ca="1" si="107"/>
        <v>0</v>
      </c>
      <c r="CM275" s="265">
        <f t="shared" ca="1" si="108"/>
        <v>0</v>
      </c>
      <c r="CO275" s="222"/>
      <c r="CP275" s="137">
        <v>0</v>
      </c>
      <c r="CQ275" s="137">
        <v>0</v>
      </c>
      <c r="CR275" s="137">
        <v>0</v>
      </c>
      <c r="CS275" s="137">
        <f t="shared" ca="1" si="109"/>
        <v>0</v>
      </c>
      <c r="CT275" s="137">
        <f t="shared" ca="1" si="110"/>
        <v>0</v>
      </c>
      <c r="CU275" s="137">
        <f t="shared" ca="1" si="111"/>
        <v>0</v>
      </c>
      <c r="CV275" s="137">
        <v>0</v>
      </c>
      <c r="CW275" s="137">
        <f t="shared" ca="1" si="112"/>
        <v>0</v>
      </c>
      <c r="CX275" s="137">
        <v>0</v>
      </c>
      <c r="CY275" s="224">
        <f t="shared" ca="1" si="113"/>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23"/>
        <v>0</v>
      </c>
      <c r="DF275" s="279">
        <f t="shared" ca="1" si="124"/>
        <v>0</v>
      </c>
      <c r="DG275" s="280">
        <f t="shared" ca="1" si="125"/>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26"/>
        <v>0</v>
      </c>
      <c r="DN275" s="279">
        <f t="shared" ca="1" si="127"/>
        <v>0</v>
      </c>
      <c r="DO275" s="279">
        <f t="shared" ca="1" si="128"/>
        <v>0</v>
      </c>
    </row>
    <row r="276" spans="1:119" x14ac:dyDescent="0.25">
      <c r="A276" s="153">
        <f t="shared" si="116"/>
        <v>45335</v>
      </c>
      <c r="B276" s="154"/>
      <c r="C276" s="154"/>
      <c r="D276" s="154"/>
      <c r="E276" s="875" t="str">
        <f t="shared" ca="1" si="61"/>
        <v/>
      </c>
      <c r="F276" s="876"/>
      <c r="G276" s="667">
        <f t="shared" ca="1" si="117"/>
        <v>0</v>
      </c>
      <c r="H276" s="667">
        <f t="shared" ca="1" si="62"/>
        <v>0</v>
      </c>
      <c r="I276" s="667">
        <f t="shared" ca="1" si="63"/>
        <v>0</v>
      </c>
      <c r="J276"/>
      <c r="K276"/>
      <c r="P276" s="151">
        <f t="shared" si="64"/>
        <v>125</v>
      </c>
      <c r="R276" s="55">
        <f t="shared" si="65"/>
        <v>0</v>
      </c>
      <c r="S276" s="55">
        <f t="shared" si="66"/>
        <v>1</v>
      </c>
      <c r="U276" s="226">
        <f t="shared" si="118"/>
        <v>0</v>
      </c>
      <c r="V276" s="137">
        <f t="shared" ca="1" si="119"/>
        <v>0</v>
      </c>
      <c r="W276" s="137">
        <f t="shared" si="120"/>
        <v>0</v>
      </c>
      <c r="X276" s="137">
        <f t="shared" si="121"/>
        <v>0</v>
      </c>
      <c r="Y276" s="137">
        <f t="shared" ca="1" si="71"/>
        <v>0</v>
      </c>
      <c r="Z276" s="137">
        <f t="shared" ca="1" si="72"/>
        <v>0</v>
      </c>
      <c r="AA276" s="137">
        <f t="shared" ca="1" si="73"/>
        <v>0</v>
      </c>
      <c r="AB276" s="137">
        <f t="shared" ca="1" si="74"/>
        <v>0</v>
      </c>
      <c r="AC276" s="137">
        <f t="shared" ca="1" si="75"/>
        <v>0</v>
      </c>
      <c r="AD276" s="137">
        <f t="shared" ca="1" si="76"/>
        <v>0</v>
      </c>
      <c r="AE276" s="223">
        <f t="shared" ca="1" si="122"/>
        <v>0</v>
      </c>
      <c r="AF276" s="229" t="str">
        <f t="shared" ca="1" si="78"/>
        <v/>
      </c>
      <c r="AH276" s="235">
        <f t="shared" si="79"/>
        <v>45335</v>
      </c>
      <c r="AI276" s="137">
        <f t="shared" ca="1" si="80"/>
        <v>0</v>
      </c>
      <c r="AJ276" s="137">
        <f t="shared" si="81"/>
        <v>0</v>
      </c>
      <c r="AK276" s="137">
        <f t="shared" ca="1" si="82"/>
        <v>0</v>
      </c>
      <c r="AL276" s="137">
        <f t="shared" ca="1" si="83"/>
        <v>0</v>
      </c>
      <c r="AM276" s="137">
        <f t="shared" si="84"/>
        <v>0</v>
      </c>
      <c r="AN276" s="137">
        <f t="shared" ca="1" si="85"/>
        <v>0</v>
      </c>
      <c r="AO276" s="137">
        <f t="shared" ca="1" si="86"/>
        <v>0</v>
      </c>
      <c r="AP276" s="137">
        <f t="shared" ca="1" si="87"/>
        <v>0</v>
      </c>
      <c r="AQ276" s="137">
        <f t="shared" si="88"/>
        <v>0</v>
      </c>
      <c r="AR276" s="236">
        <f t="shared" ca="1" si="89"/>
        <v>0</v>
      </c>
      <c r="AT276" s="241">
        <f t="shared" ca="1" si="90"/>
        <v>28</v>
      </c>
      <c r="AV276" s="222">
        <f t="shared" ca="1" si="91"/>
        <v>0</v>
      </c>
      <c r="AW276" s="247">
        <f t="shared" si="92"/>
        <v>92</v>
      </c>
      <c r="AY276" s="239">
        <f ca="1">(AE276=5)*('  B  '!F$110=1)*OR(AND(AND(A276&gt;=S$220,A276&gt;=I$214),AND(A276&lt;=S$221,A276&lt;=I$215)),AND(AND(A276&gt;=S$230,A276&gt;=I$224),AND(A276&lt;=S$231,A276&lt;=I$225)),AND(AND(A276&gt;=S$240,A276&gt;=I$234),AND(A276&lt;=S$241,A276&lt;=I$235)))</f>
        <v>0</v>
      </c>
      <c r="BA276" s="222">
        <f t="shared" ca="1" si="93"/>
        <v>0</v>
      </c>
      <c r="BB276" s="55">
        <f t="shared" ca="1" si="94"/>
        <v>0</v>
      </c>
      <c r="BC276" s="247">
        <f t="shared" si="95"/>
        <v>182</v>
      </c>
      <c r="BE276" s="239">
        <f t="shared" ca="1" si="96"/>
        <v>0</v>
      </c>
      <c r="BG276" s="239">
        <f t="shared" ca="1" si="97"/>
        <v>0</v>
      </c>
      <c r="BI276" s="222"/>
      <c r="BJ276" s="137">
        <v>0</v>
      </c>
      <c r="BK276" s="137">
        <v>0</v>
      </c>
      <c r="BL276" s="137">
        <f t="shared" ca="1" si="98"/>
        <v>1</v>
      </c>
      <c r="BM276" s="137">
        <f t="shared" ca="1" si="99"/>
        <v>1</v>
      </c>
      <c r="BN276" s="137">
        <f ca="1">(A276&gt;=N_LFP_Startdatum)*IF('  B  '!F$110=1,NOT(OR(A276&gt;S$221,A276&gt;S$231,A276&gt;S$241)),IF(BB276&gt;BC276,0,1))</f>
        <v>1</v>
      </c>
      <c r="BO276" s="137">
        <f t="shared" ca="1" si="100"/>
        <v>1</v>
      </c>
      <c r="BP276" s="137">
        <v>0</v>
      </c>
      <c r="BQ276" s="137">
        <f t="shared" ca="1" si="101"/>
        <v>1</v>
      </c>
      <c r="BR276" s="653">
        <v>0</v>
      </c>
      <c r="BS276" s="224">
        <f ca="1">(A276&gt;=N_LFP_Startdatum)*IF('  B  '!F$110=1,NOT(OR(A276&gt;S$221,A276&gt;S$231,A276&gt;S$241)),IF(BB276&gt;BC276,0,1))</f>
        <v>1</v>
      </c>
      <c r="BU276" s="562">
        <f t="shared" ca="1" si="102"/>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103"/>
        <v>0</v>
      </c>
      <c r="CA276" s="156">
        <f t="shared" ca="1" si="104"/>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5"/>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6"/>
        <v>0</v>
      </c>
      <c r="CL276" s="270">
        <f t="shared" ca="1" si="107"/>
        <v>0</v>
      </c>
      <c r="CM276" s="265">
        <f t="shared" ca="1" si="108"/>
        <v>0</v>
      </c>
      <c r="CO276" s="222"/>
      <c r="CP276" s="137">
        <v>0</v>
      </c>
      <c r="CQ276" s="137">
        <v>0</v>
      </c>
      <c r="CR276" s="137">
        <v>0</v>
      </c>
      <c r="CS276" s="137">
        <f t="shared" ca="1" si="109"/>
        <v>0</v>
      </c>
      <c r="CT276" s="137">
        <f t="shared" ca="1" si="110"/>
        <v>0</v>
      </c>
      <c r="CU276" s="137">
        <f t="shared" ca="1" si="111"/>
        <v>0</v>
      </c>
      <c r="CV276" s="137">
        <v>0</v>
      </c>
      <c r="CW276" s="137">
        <f t="shared" ca="1" si="112"/>
        <v>0</v>
      </c>
      <c r="CX276" s="137">
        <v>0</v>
      </c>
      <c r="CY276" s="224">
        <f t="shared" ca="1" si="113"/>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23"/>
        <v>0</v>
      </c>
      <c r="DF276" s="279">
        <f t="shared" ca="1" si="124"/>
        <v>0</v>
      </c>
      <c r="DG276" s="280">
        <f t="shared" ca="1" si="125"/>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26"/>
        <v>0</v>
      </c>
      <c r="DN276" s="279">
        <f t="shared" ca="1" si="127"/>
        <v>0</v>
      </c>
      <c r="DO276" s="279">
        <f t="shared" ca="1" si="128"/>
        <v>0</v>
      </c>
    </row>
    <row r="277" spans="1:119" x14ac:dyDescent="0.25">
      <c r="A277" s="153">
        <f t="shared" si="116"/>
        <v>45336</v>
      </c>
      <c r="B277" s="154"/>
      <c r="C277" s="154"/>
      <c r="D277" s="154"/>
      <c r="E277" s="875" t="str">
        <f t="shared" ca="1" si="61"/>
        <v/>
      </c>
      <c r="F277" s="876"/>
      <c r="G277" s="667">
        <f t="shared" ca="1" si="117"/>
        <v>0</v>
      </c>
      <c r="H277" s="667">
        <f t="shared" ca="1" si="62"/>
        <v>0</v>
      </c>
      <c r="I277" s="667">
        <f t="shared" ca="1" si="63"/>
        <v>0</v>
      </c>
      <c r="J277"/>
      <c r="K277"/>
      <c r="P277" s="151">
        <f t="shared" si="64"/>
        <v>125</v>
      </c>
      <c r="R277" s="55">
        <f t="shared" si="65"/>
        <v>0</v>
      </c>
      <c r="S277" s="55">
        <f t="shared" si="66"/>
        <v>1</v>
      </c>
      <c r="U277" s="226">
        <f t="shared" si="118"/>
        <v>0</v>
      </c>
      <c r="V277" s="137">
        <f t="shared" ca="1" si="119"/>
        <v>0</v>
      </c>
      <c r="W277" s="137">
        <f t="shared" si="120"/>
        <v>0</v>
      </c>
      <c r="X277" s="137">
        <f t="shared" si="121"/>
        <v>0</v>
      </c>
      <c r="Y277" s="137">
        <f t="shared" ca="1" si="71"/>
        <v>0</v>
      </c>
      <c r="Z277" s="137">
        <f t="shared" ca="1" si="72"/>
        <v>0</v>
      </c>
      <c r="AA277" s="137">
        <f t="shared" ca="1" si="73"/>
        <v>0</v>
      </c>
      <c r="AB277" s="137">
        <f t="shared" ca="1" si="74"/>
        <v>0</v>
      </c>
      <c r="AC277" s="137">
        <f t="shared" ca="1" si="75"/>
        <v>0</v>
      </c>
      <c r="AD277" s="137">
        <f t="shared" ca="1" si="76"/>
        <v>0</v>
      </c>
      <c r="AE277" s="223">
        <f t="shared" ca="1" si="122"/>
        <v>0</v>
      </c>
      <c r="AF277" s="229" t="str">
        <f t="shared" ca="1" si="78"/>
        <v/>
      </c>
      <c r="AH277" s="235">
        <f t="shared" si="79"/>
        <v>45336</v>
      </c>
      <c r="AI277" s="137">
        <f t="shared" ca="1" si="80"/>
        <v>0</v>
      </c>
      <c r="AJ277" s="137">
        <f t="shared" si="81"/>
        <v>0</v>
      </c>
      <c r="AK277" s="137">
        <f t="shared" ca="1" si="82"/>
        <v>0</v>
      </c>
      <c r="AL277" s="137">
        <f t="shared" ca="1" si="83"/>
        <v>0</v>
      </c>
      <c r="AM277" s="137">
        <f t="shared" si="84"/>
        <v>0</v>
      </c>
      <c r="AN277" s="137">
        <f t="shared" ca="1" si="85"/>
        <v>0</v>
      </c>
      <c r="AO277" s="137">
        <f t="shared" ca="1" si="86"/>
        <v>0</v>
      </c>
      <c r="AP277" s="137">
        <f t="shared" ca="1" si="87"/>
        <v>0</v>
      </c>
      <c r="AQ277" s="137">
        <f t="shared" si="88"/>
        <v>0</v>
      </c>
      <c r="AR277" s="236">
        <f t="shared" ca="1" si="89"/>
        <v>0</v>
      </c>
      <c r="AT277" s="241">
        <f t="shared" ca="1" si="90"/>
        <v>28</v>
      </c>
      <c r="AV277" s="222">
        <f t="shared" ca="1" si="91"/>
        <v>0</v>
      </c>
      <c r="AW277" s="247">
        <f t="shared" si="92"/>
        <v>92</v>
      </c>
      <c r="AY277" s="239">
        <f ca="1">(AE277=5)*('  B  '!F$110=1)*OR(AND(AND(A277&gt;=S$220,A277&gt;=I$214),AND(A277&lt;=S$221,A277&lt;=I$215)),AND(AND(A277&gt;=S$230,A277&gt;=I$224),AND(A277&lt;=S$231,A277&lt;=I$225)),AND(AND(A277&gt;=S$240,A277&gt;=I$234),AND(A277&lt;=S$241,A277&lt;=I$235)))</f>
        <v>0</v>
      </c>
      <c r="BA277" s="222">
        <f t="shared" ca="1" si="93"/>
        <v>0</v>
      </c>
      <c r="BB277" s="55">
        <f t="shared" ca="1" si="94"/>
        <v>0</v>
      </c>
      <c r="BC277" s="247">
        <f t="shared" si="95"/>
        <v>182</v>
      </c>
      <c r="BE277" s="239">
        <f t="shared" ca="1" si="96"/>
        <v>0</v>
      </c>
      <c r="BG277" s="239">
        <f t="shared" ca="1" si="97"/>
        <v>0</v>
      </c>
      <c r="BI277" s="222"/>
      <c r="BJ277" s="137">
        <v>0</v>
      </c>
      <c r="BK277" s="137">
        <v>0</v>
      </c>
      <c r="BL277" s="137">
        <f t="shared" ca="1" si="98"/>
        <v>1</v>
      </c>
      <c r="BM277" s="137">
        <f t="shared" ca="1" si="99"/>
        <v>1</v>
      </c>
      <c r="BN277" s="137">
        <f ca="1">(A277&gt;=N_LFP_Startdatum)*IF('  B  '!F$110=1,NOT(OR(A277&gt;S$221,A277&gt;S$231,A277&gt;S$241)),IF(BB277&gt;BC277,0,1))</f>
        <v>1</v>
      </c>
      <c r="BO277" s="137">
        <f t="shared" ca="1" si="100"/>
        <v>1</v>
      </c>
      <c r="BP277" s="137">
        <v>0</v>
      </c>
      <c r="BQ277" s="137">
        <f t="shared" ca="1" si="101"/>
        <v>1</v>
      </c>
      <c r="BR277" s="653">
        <v>0</v>
      </c>
      <c r="BS277" s="224">
        <f ca="1">(A277&gt;=N_LFP_Startdatum)*IF('  B  '!F$110=1,NOT(OR(A277&gt;S$221,A277&gt;S$231,A277&gt;S$241)),IF(BB277&gt;BC277,0,1))</f>
        <v>1</v>
      </c>
      <c r="BU277" s="562">
        <f t="shared" ca="1" si="102"/>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103"/>
        <v>0</v>
      </c>
      <c r="CA277" s="156">
        <f t="shared" ca="1" si="104"/>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5"/>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6"/>
        <v>0</v>
      </c>
      <c r="CL277" s="270">
        <f t="shared" ca="1" si="107"/>
        <v>0</v>
      </c>
      <c r="CM277" s="265">
        <f t="shared" ca="1" si="108"/>
        <v>0</v>
      </c>
      <c r="CO277" s="222"/>
      <c r="CP277" s="137">
        <v>0</v>
      </c>
      <c r="CQ277" s="137">
        <v>0</v>
      </c>
      <c r="CR277" s="137">
        <v>0</v>
      </c>
      <c r="CS277" s="137">
        <f t="shared" ca="1" si="109"/>
        <v>0</v>
      </c>
      <c r="CT277" s="137">
        <f t="shared" ca="1" si="110"/>
        <v>0</v>
      </c>
      <c r="CU277" s="137">
        <f t="shared" ca="1" si="111"/>
        <v>0</v>
      </c>
      <c r="CV277" s="137">
        <v>0</v>
      </c>
      <c r="CW277" s="137">
        <f t="shared" ca="1" si="112"/>
        <v>0</v>
      </c>
      <c r="CX277" s="137">
        <v>0</v>
      </c>
      <c r="CY277" s="224">
        <f t="shared" ca="1" si="113"/>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23"/>
        <v>0</v>
      </c>
      <c r="DF277" s="279">
        <f t="shared" ca="1" si="124"/>
        <v>0</v>
      </c>
      <c r="DG277" s="280">
        <f t="shared" ca="1" si="125"/>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26"/>
        <v>0</v>
      </c>
      <c r="DN277" s="279">
        <f t="shared" ca="1" si="127"/>
        <v>0</v>
      </c>
      <c r="DO277" s="279">
        <f t="shared" ca="1" si="128"/>
        <v>0</v>
      </c>
    </row>
    <row r="278" spans="1:119" x14ac:dyDescent="0.25">
      <c r="A278" s="153">
        <f t="shared" si="116"/>
        <v>45337</v>
      </c>
      <c r="B278" s="154"/>
      <c r="C278" s="154"/>
      <c r="D278" s="154"/>
      <c r="E278" s="875" t="str">
        <f t="shared" ca="1" si="61"/>
        <v/>
      </c>
      <c r="F278" s="876"/>
      <c r="G278" s="667">
        <f t="shared" ca="1" si="117"/>
        <v>0</v>
      </c>
      <c r="H278" s="667">
        <f t="shared" ca="1" si="62"/>
        <v>0</v>
      </c>
      <c r="I278" s="667">
        <f t="shared" ca="1" si="63"/>
        <v>0</v>
      </c>
      <c r="J278"/>
      <c r="K278"/>
      <c r="P278" s="151">
        <f t="shared" si="64"/>
        <v>125</v>
      </c>
      <c r="R278" s="55">
        <f t="shared" si="65"/>
        <v>0</v>
      </c>
      <c r="S278" s="55">
        <f t="shared" si="66"/>
        <v>1</v>
      </c>
      <c r="U278" s="226">
        <f t="shared" si="118"/>
        <v>0</v>
      </c>
      <c r="V278" s="137">
        <f t="shared" ca="1" si="119"/>
        <v>0</v>
      </c>
      <c r="W278" s="137">
        <f t="shared" si="120"/>
        <v>0</v>
      </c>
      <c r="X278" s="137">
        <f t="shared" si="121"/>
        <v>0</v>
      </c>
      <c r="Y278" s="137">
        <f t="shared" ca="1" si="71"/>
        <v>0</v>
      </c>
      <c r="Z278" s="137">
        <f t="shared" ca="1" si="72"/>
        <v>0</v>
      </c>
      <c r="AA278" s="137">
        <f t="shared" ca="1" si="73"/>
        <v>0</v>
      </c>
      <c r="AB278" s="137">
        <f t="shared" ca="1" si="74"/>
        <v>0</v>
      </c>
      <c r="AC278" s="137">
        <f t="shared" ca="1" si="75"/>
        <v>0</v>
      </c>
      <c r="AD278" s="137">
        <f t="shared" ca="1" si="76"/>
        <v>0</v>
      </c>
      <c r="AE278" s="223">
        <f t="shared" ca="1" si="122"/>
        <v>0</v>
      </c>
      <c r="AF278" s="229" t="str">
        <f t="shared" ca="1" si="78"/>
        <v/>
      </c>
      <c r="AH278" s="235">
        <f t="shared" si="79"/>
        <v>45337</v>
      </c>
      <c r="AI278" s="137">
        <f t="shared" ca="1" si="80"/>
        <v>0</v>
      </c>
      <c r="AJ278" s="137">
        <f t="shared" si="81"/>
        <v>0</v>
      </c>
      <c r="AK278" s="137">
        <f t="shared" ca="1" si="82"/>
        <v>0</v>
      </c>
      <c r="AL278" s="137">
        <f t="shared" ca="1" si="83"/>
        <v>0</v>
      </c>
      <c r="AM278" s="137">
        <f t="shared" si="84"/>
        <v>0</v>
      </c>
      <c r="AN278" s="137">
        <f t="shared" ca="1" si="85"/>
        <v>0</v>
      </c>
      <c r="AO278" s="137">
        <f t="shared" ca="1" si="86"/>
        <v>0</v>
      </c>
      <c r="AP278" s="137">
        <f t="shared" ca="1" si="87"/>
        <v>0</v>
      </c>
      <c r="AQ278" s="137">
        <f t="shared" si="88"/>
        <v>0</v>
      </c>
      <c r="AR278" s="236">
        <f t="shared" ca="1" si="89"/>
        <v>0</v>
      </c>
      <c r="AT278" s="241">
        <f t="shared" ca="1" si="90"/>
        <v>28</v>
      </c>
      <c r="AV278" s="222">
        <f t="shared" ca="1" si="91"/>
        <v>0</v>
      </c>
      <c r="AW278" s="247">
        <f t="shared" si="92"/>
        <v>92</v>
      </c>
      <c r="AY278" s="239">
        <f ca="1">(AE278=5)*('  B  '!F$110=1)*OR(AND(AND(A278&gt;=S$220,A278&gt;=I$214),AND(A278&lt;=S$221,A278&lt;=I$215)),AND(AND(A278&gt;=S$230,A278&gt;=I$224),AND(A278&lt;=S$231,A278&lt;=I$225)),AND(AND(A278&gt;=S$240,A278&gt;=I$234),AND(A278&lt;=S$241,A278&lt;=I$235)))</f>
        <v>0</v>
      </c>
      <c r="BA278" s="222">
        <f t="shared" ca="1" si="93"/>
        <v>0</v>
      </c>
      <c r="BB278" s="55">
        <f t="shared" ca="1" si="94"/>
        <v>0</v>
      </c>
      <c r="BC278" s="247">
        <f t="shared" si="95"/>
        <v>182</v>
      </c>
      <c r="BE278" s="239">
        <f t="shared" ca="1" si="96"/>
        <v>0</v>
      </c>
      <c r="BG278" s="239">
        <f t="shared" ca="1" si="97"/>
        <v>0</v>
      </c>
      <c r="BI278" s="222"/>
      <c r="BJ278" s="137">
        <v>0</v>
      </c>
      <c r="BK278" s="137">
        <v>0</v>
      </c>
      <c r="BL278" s="137">
        <f t="shared" ca="1" si="98"/>
        <v>1</v>
      </c>
      <c r="BM278" s="137">
        <f t="shared" ca="1" si="99"/>
        <v>1</v>
      </c>
      <c r="BN278" s="137">
        <f ca="1">(A278&gt;=N_LFP_Startdatum)*IF('  B  '!F$110=1,NOT(OR(A278&gt;S$221,A278&gt;S$231,A278&gt;S$241)),IF(BB278&gt;BC278,0,1))</f>
        <v>1</v>
      </c>
      <c r="BO278" s="137">
        <f t="shared" ca="1" si="100"/>
        <v>1</v>
      </c>
      <c r="BP278" s="137">
        <v>0</v>
      </c>
      <c r="BQ278" s="137">
        <f t="shared" ca="1" si="101"/>
        <v>1</v>
      </c>
      <c r="BR278" s="653">
        <v>0</v>
      </c>
      <c r="BS278" s="224">
        <f ca="1">(A278&gt;=N_LFP_Startdatum)*IF('  B  '!F$110=1,NOT(OR(A278&gt;S$221,A278&gt;S$231,A278&gt;S$241)),IF(BB278&gt;BC278,0,1))</f>
        <v>1</v>
      </c>
      <c r="BU278" s="562">
        <f t="shared" ca="1" si="102"/>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103"/>
        <v>0</v>
      </c>
      <c r="CA278" s="156">
        <f t="shared" ca="1" si="104"/>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5"/>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6"/>
        <v>0</v>
      </c>
      <c r="CL278" s="270">
        <f t="shared" ca="1" si="107"/>
        <v>0</v>
      </c>
      <c r="CM278" s="265">
        <f t="shared" ca="1" si="108"/>
        <v>0</v>
      </c>
      <c r="CO278" s="222"/>
      <c r="CP278" s="137">
        <v>0</v>
      </c>
      <c r="CQ278" s="137">
        <v>0</v>
      </c>
      <c r="CR278" s="137">
        <v>0</v>
      </c>
      <c r="CS278" s="137">
        <f t="shared" ca="1" si="109"/>
        <v>0</v>
      </c>
      <c r="CT278" s="137">
        <f t="shared" ca="1" si="110"/>
        <v>0</v>
      </c>
      <c r="CU278" s="137">
        <f t="shared" ca="1" si="111"/>
        <v>0</v>
      </c>
      <c r="CV278" s="137">
        <v>0</v>
      </c>
      <c r="CW278" s="137">
        <f t="shared" ca="1" si="112"/>
        <v>0</v>
      </c>
      <c r="CX278" s="137">
        <v>0</v>
      </c>
      <c r="CY278" s="224">
        <f t="shared" ca="1" si="113"/>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23"/>
        <v>0</v>
      </c>
      <c r="DF278" s="279">
        <f t="shared" ca="1" si="124"/>
        <v>0</v>
      </c>
      <c r="DG278" s="280">
        <f t="shared" ca="1" si="125"/>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26"/>
        <v>0</v>
      </c>
      <c r="DN278" s="279">
        <f t="shared" ca="1" si="127"/>
        <v>0</v>
      </c>
      <c r="DO278" s="279">
        <f t="shared" ca="1" si="128"/>
        <v>0</v>
      </c>
    </row>
    <row r="279" spans="1:119" x14ac:dyDescent="0.25">
      <c r="A279" s="153">
        <f t="shared" si="116"/>
        <v>45338</v>
      </c>
      <c r="B279" s="154"/>
      <c r="C279" s="154"/>
      <c r="D279" s="154"/>
      <c r="E279" s="875" t="str">
        <f t="shared" ca="1" si="61"/>
        <v/>
      </c>
      <c r="F279" s="876"/>
      <c r="G279" s="667">
        <f t="shared" ca="1" si="117"/>
        <v>0</v>
      </c>
      <c r="H279" s="667">
        <f t="shared" ca="1" si="62"/>
        <v>0</v>
      </c>
      <c r="I279" s="667">
        <f t="shared" ca="1" si="63"/>
        <v>0</v>
      </c>
      <c r="J279"/>
      <c r="K279"/>
      <c r="P279" s="151">
        <f t="shared" si="64"/>
        <v>125</v>
      </c>
      <c r="R279" s="55">
        <f t="shared" si="65"/>
        <v>0</v>
      </c>
      <c r="S279" s="55">
        <f t="shared" si="66"/>
        <v>1</v>
      </c>
      <c r="U279" s="226">
        <f t="shared" si="118"/>
        <v>0</v>
      </c>
      <c r="V279" s="137">
        <f t="shared" ca="1" si="119"/>
        <v>0</v>
      </c>
      <c r="W279" s="137">
        <f t="shared" si="120"/>
        <v>0</v>
      </c>
      <c r="X279" s="137">
        <f t="shared" si="121"/>
        <v>0</v>
      </c>
      <c r="Y279" s="137">
        <f t="shared" ca="1" si="71"/>
        <v>0</v>
      </c>
      <c r="Z279" s="137">
        <f t="shared" ca="1" si="72"/>
        <v>0</v>
      </c>
      <c r="AA279" s="137">
        <f t="shared" ca="1" si="73"/>
        <v>0</v>
      </c>
      <c r="AB279" s="137">
        <f t="shared" ca="1" si="74"/>
        <v>0</v>
      </c>
      <c r="AC279" s="137">
        <f t="shared" ca="1" si="75"/>
        <v>0</v>
      </c>
      <c r="AD279" s="137">
        <f t="shared" ca="1" si="76"/>
        <v>0</v>
      </c>
      <c r="AE279" s="223">
        <f t="shared" ca="1" si="122"/>
        <v>0</v>
      </c>
      <c r="AF279" s="229" t="str">
        <f t="shared" ca="1" si="78"/>
        <v/>
      </c>
      <c r="AH279" s="235">
        <f t="shared" si="79"/>
        <v>45338</v>
      </c>
      <c r="AI279" s="137">
        <f t="shared" ca="1" si="80"/>
        <v>0</v>
      </c>
      <c r="AJ279" s="137">
        <f t="shared" si="81"/>
        <v>0</v>
      </c>
      <c r="AK279" s="137">
        <f t="shared" ca="1" si="82"/>
        <v>0</v>
      </c>
      <c r="AL279" s="137">
        <f t="shared" ca="1" si="83"/>
        <v>0</v>
      </c>
      <c r="AM279" s="137">
        <f t="shared" si="84"/>
        <v>0</v>
      </c>
      <c r="AN279" s="137">
        <f t="shared" ca="1" si="85"/>
        <v>0</v>
      </c>
      <c r="AO279" s="137">
        <f t="shared" ca="1" si="86"/>
        <v>0</v>
      </c>
      <c r="AP279" s="137">
        <f t="shared" ca="1" si="87"/>
        <v>0</v>
      </c>
      <c r="AQ279" s="137">
        <f t="shared" si="88"/>
        <v>0</v>
      </c>
      <c r="AR279" s="236">
        <f t="shared" ca="1" si="89"/>
        <v>0</v>
      </c>
      <c r="AT279" s="241">
        <f t="shared" ca="1" si="90"/>
        <v>28</v>
      </c>
      <c r="AV279" s="222">
        <f t="shared" ca="1" si="91"/>
        <v>0</v>
      </c>
      <c r="AW279" s="247">
        <f t="shared" si="92"/>
        <v>92</v>
      </c>
      <c r="AY279" s="239">
        <f ca="1">(AE279=5)*('  B  '!F$110=1)*OR(AND(AND(A279&gt;=S$220,A279&gt;=I$214),AND(A279&lt;=S$221,A279&lt;=I$215)),AND(AND(A279&gt;=S$230,A279&gt;=I$224),AND(A279&lt;=S$231,A279&lt;=I$225)),AND(AND(A279&gt;=S$240,A279&gt;=I$234),AND(A279&lt;=S$241,A279&lt;=I$235)))</f>
        <v>0</v>
      </c>
      <c r="BA279" s="222">
        <f t="shared" ca="1" si="93"/>
        <v>0</v>
      </c>
      <c r="BB279" s="55">
        <f t="shared" ca="1" si="94"/>
        <v>0</v>
      </c>
      <c r="BC279" s="247">
        <f t="shared" si="95"/>
        <v>182</v>
      </c>
      <c r="BE279" s="239">
        <f t="shared" ca="1" si="96"/>
        <v>0</v>
      </c>
      <c r="BG279" s="239">
        <f t="shared" ca="1" si="97"/>
        <v>0</v>
      </c>
      <c r="BI279" s="222"/>
      <c r="BJ279" s="137">
        <v>0</v>
      </c>
      <c r="BK279" s="137">
        <v>0</v>
      </c>
      <c r="BL279" s="137">
        <f t="shared" ca="1" si="98"/>
        <v>1</v>
      </c>
      <c r="BM279" s="137">
        <f t="shared" ca="1" si="99"/>
        <v>1</v>
      </c>
      <c r="BN279" s="137">
        <f ca="1">(A279&gt;=N_LFP_Startdatum)*IF('  B  '!F$110=1,NOT(OR(A279&gt;S$221,A279&gt;S$231,A279&gt;S$241)),IF(BB279&gt;BC279,0,1))</f>
        <v>1</v>
      </c>
      <c r="BO279" s="137">
        <f t="shared" ca="1" si="100"/>
        <v>1</v>
      </c>
      <c r="BP279" s="137">
        <v>0</v>
      </c>
      <c r="BQ279" s="137">
        <f t="shared" ca="1" si="101"/>
        <v>1</v>
      </c>
      <c r="BR279" s="653">
        <v>0</v>
      </c>
      <c r="BS279" s="224">
        <f ca="1">(A279&gt;=N_LFP_Startdatum)*IF('  B  '!F$110=1,NOT(OR(A279&gt;S$221,A279&gt;S$231,A279&gt;S$241)),IF(BB279&gt;BC279,0,1))</f>
        <v>1</v>
      </c>
      <c r="BU279" s="562">
        <f t="shared" ca="1" si="102"/>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103"/>
        <v>0</v>
      </c>
      <c r="CA279" s="156">
        <f t="shared" ca="1" si="104"/>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5"/>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6"/>
        <v>0</v>
      </c>
      <c r="CL279" s="270">
        <f t="shared" ca="1" si="107"/>
        <v>0</v>
      </c>
      <c r="CM279" s="265">
        <f t="shared" ca="1" si="108"/>
        <v>0</v>
      </c>
      <c r="CO279" s="222"/>
      <c r="CP279" s="137">
        <v>0</v>
      </c>
      <c r="CQ279" s="137">
        <v>0</v>
      </c>
      <c r="CR279" s="137">
        <v>0</v>
      </c>
      <c r="CS279" s="137">
        <f t="shared" ca="1" si="109"/>
        <v>0</v>
      </c>
      <c r="CT279" s="137">
        <f t="shared" ca="1" si="110"/>
        <v>0</v>
      </c>
      <c r="CU279" s="137">
        <f t="shared" ca="1" si="111"/>
        <v>0</v>
      </c>
      <c r="CV279" s="137">
        <v>0</v>
      </c>
      <c r="CW279" s="137">
        <f t="shared" ca="1" si="112"/>
        <v>0</v>
      </c>
      <c r="CX279" s="137">
        <v>0</v>
      </c>
      <c r="CY279" s="224">
        <f t="shared" ca="1" si="113"/>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23"/>
        <v>0</v>
      </c>
      <c r="DF279" s="279">
        <f t="shared" ca="1" si="124"/>
        <v>0</v>
      </c>
      <c r="DG279" s="280">
        <f t="shared" ca="1" si="125"/>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26"/>
        <v>0</v>
      </c>
      <c r="DN279" s="279">
        <f t="shared" ca="1" si="127"/>
        <v>0</v>
      </c>
      <c r="DO279" s="279">
        <f t="shared" ca="1" si="128"/>
        <v>0</v>
      </c>
    </row>
    <row r="280" spans="1:119" x14ac:dyDescent="0.25">
      <c r="A280" s="153">
        <f t="shared" si="116"/>
        <v>45339</v>
      </c>
      <c r="B280" s="154"/>
      <c r="C280" s="154"/>
      <c r="D280" s="154"/>
      <c r="E280" s="875" t="str">
        <f t="shared" ca="1" si="61"/>
        <v/>
      </c>
      <c r="F280" s="876"/>
      <c r="G280" s="667">
        <f t="shared" ca="1" si="117"/>
        <v>0</v>
      </c>
      <c r="H280" s="667">
        <f t="shared" ca="1" si="62"/>
        <v>0</v>
      </c>
      <c r="I280" s="667">
        <f t="shared" ca="1" si="63"/>
        <v>0</v>
      </c>
      <c r="J280"/>
      <c r="K280"/>
      <c r="P280" s="151">
        <f t="shared" si="64"/>
        <v>125</v>
      </c>
      <c r="R280" s="55">
        <f t="shared" si="65"/>
        <v>0</v>
      </c>
      <c r="S280" s="55">
        <f t="shared" si="66"/>
        <v>1</v>
      </c>
      <c r="U280" s="226">
        <f t="shared" si="118"/>
        <v>0</v>
      </c>
      <c r="V280" s="137">
        <f t="shared" ca="1" si="119"/>
        <v>0</v>
      </c>
      <c r="W280" s="137">
        <f t="shared" si="120"/>
        <v>0</v>
      </c>
      <c r="X280" s="137">
        <f t="shared" si="121"/>
        <v>0</v>
      </c>
      <c r="Y280" s="137">
        <f t="shared" ca="1" si="71"/>
        <v>0</v>
      </c>
      <c r="Z280" s="137">
        <f t="shared" ca="1" si="72"/>
        <v>0</v>
      </c>
      <c r="AA280" s="137">
        <f t="shared" ca="1" si="73"/>
        <v>0</v>
      </c>
      <c r="AB280" s="137">
        <f t="shared" ca="1" si="74"/>
        <v>0</v>
      </c>
      <c r="AC280" s="137">
        <f t="shared" ca="1" si="75"/>
        <v>0</v>
      </c>
      <c r="AD280" s="137">
        <f t="shared" ca="1" si="76"/>
        <v>0</v>
      </c>
      <c r="AE280" s="223">
        <f t="shared" ca="1" si="122"/>
        <v>0</v>
      </c>
      <c r="AF280" s="229" t="str">
        <f t="shared" ca="1" si="78"/>
        <v/>
      </c>
      <c r="AH280" s="235">
        <f t="shared" si="79"/>
        <v>45339</v>
      </c>
      <c r="AI280" s="137">
        <f t="shared" ca="1" si="80"/>
        <v>0</v>
      </c>
      <c r="AJ280" s="137">
        <f t="shared" si="81"/>
        <v>0</v>
      </c>
      <c r="AK280" s="137">
        <f t="shared" ca="1" si="82"/>
        <v>0</v>
      </c>
      <c r="AL280" s="137">
        <f t="shared" ca="1" si="83"/>
        <v>0</v>
      </c>
      <c r="AM280" s="137">
        <f t="shared" si="84"/>
        <v>0</v>
      </c>
      <c r="AN280" s="137">
        <f t="shared" ca="1" si="85"/>
        <v>0</v>
      </c>
      <c r="AO280" s="137">
        <f t="shared" ca="1" si="86"/>
        <v>0</v>
      </c>
      <c r="AP280" s="137">
        <f t="shared" ca="1" si="87"/>
        <v>0</v>
      </c>
      <c r="AQ280" s="137">
        <f t="shared" si="88"/>
        <v>0</v>
      </c>
      <c r="AR280" s="236">
        <f t="shared" ca="1" si="89"/>
        <v>0</v>
      </c>
      <c r="AT280" s="241">
        <f t="shared" ca="1" si="90"/>
        <v>28</v>
      </c>
      <c r="AV280" s="222">
        <f t="shared" ca="1" si="91"/>
        <v>0</v>
      </c>
      <c r="AW280" s="247">
        <f t="shared" si="92"/>
        <v>92</v>
      </c>
      <c r="AY280" s="239">
        <f ca="1">(AE280=5)*('  B  '!F$110=1)*OR(AND(AND(A280&gt;=S$220,A280&gt;=I$214),AND(A280&lt;=S$221,A280&lt;=I$215)),AND(AND(A280&gt;=S$230,A280&gt;=I$224),AND(A280&lt;=S$231,A280&lt;=I$225)),AND(AND(A280&gt;=S$240,A280&gt;=I$234),AND(A280&lt;=S$241,A280&lt;=I$235)))</f>
        <v>0</v>
      </c>
      <c r="BA280" s="222">
        <f t="shared" ca="1" si="93"/>
        <v>0</v>
      </c>
      <c r="BB280" s="55">
        <f t="shared" ca="1" si="94"/>
        <v>0</v>
      </c>
      <c r="BC280" s="247">
        <f t="shared" si="95"/>
        <v>182</v>
      </c>
      <c r="BE280" s="239">
        <f t="shared" ca="1" si="96"/>
        <v>0</v>
      </c>
      <c r="BG280" s="239">
        <f t="shared" ca="1" si="97"/>
        <v>0</v>
      </c>
      <c r="BI280" s="222"/>
      <c r="BJ280" s="137">
        <v>0</v>
      </c>
      <c r="BK280" s="137">
        <v>0</v>
      </c>
      <c r="BL280" s="137">
        <f t="shared" ca="1" si="98"/>
        <v>1</v>
      </c>
      <c r="BM280" s="137">
        <f t="shared" ca="1" si="99"/>
        <v>1</v>
      </c>
      <c r="BN280" s="137">
        <f ca="1">(A280&gt;=N_LFP_Startdatum)*IF('  B  '!F$110=1,NOT(OR(A280&gt;S$221,A280&gt;S$231,A280&gt;S$241)),IF(BB280&gt;BC280,0,1))</f>
        <v>1</v>
      </c>
      <c r="BO280" s="137">
        <f t="shared" ca="1" si="100"/>
        <v>1</v>
      </c>
      <c r="BP280" s="137">
        <v>0</v>
      </c>
      <c r="BQ280" s="137">
        <f t="shared" ca="1" si="101"/>
        <v>1</v>
      </c>
      <c r="BR280" s="653">
        <v>0</v>
      </c>
      <c r="BS280" s="224">
        <f ca="1">(A280&gt;=N_LFP_Startdatum)*IF('  B  '!F$110=1,NOT(OR(A280&gt;S$221,A280&gt;S$231,A280&gt;S$241)),IF(BB280&gt;BC280,0,1))</f>
        <v>1</v>
      </c>
      <c r="BU280" s="562">
        <f t="shared" ca="1" si="102"/>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103"/>
        <v>0</v>
      </c>
      <c r="CA280" s="156">
        <f t="shared" ca="1" si="104"/>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5"/>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6"/>
        <v>0</v>
      </c>
      <c r="CL280" s="270">
        <f t="shared" ca="1" si="107"/>
        <v>0</v>
      </c>
      <c r="CM280" s="265">
        <f t="shared" ca="1" si="108"/>
        <v>0</v>
      </c>
      <c r="CO280" s="222"/>
      <c r="CP280" s="137">
        <v>0</v>
      </c>
      <c r="CQ280" s="137">
        <v>0</v>
      </c>
      <c r="CR280" s="137">
        <v>0</v>
      </c>
      <c r="CS280" s="137">
        <f t="shared" ca="1" si="109"/>
        <v>0</v>
      </c>
      <c r="CT280" s="137">
        <f t="shared" ca="1" si="110"/>
        <v>0</v>
      </c>
      <c r="CU280" s="137">
        <f t="shared" ca="1" si="111"/>
        <v>0</v>
      </c>
      <c r="CV280" s="137">
        <v>0</v>
      </c>
      <c r="CW280" s="137">
        <f t="shared" ca="1" si="112"/>
        <v>0</v>
      </c>
      <c r="CX280" s="137">
        <v>0</v>
      </c>
      <c r="CY280" s="224">
        <f t="shared" ca="1" si="113"/>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23"/>
        <v>0</v>
      </c>
      <c r="DF280" s="279">
        <f t="shared" ca="1" si="124"/>
        <v>0</v>
      </c>
      <c r="DG280" s="280">
        <f t="shared" ca="1" si="125"/>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26"/>
        <v>0</v>
      </c>
      <c r="DN280" s="279">
        <f t="shared" ca="1" si="127"/>
        <v>0</v>
      </c>
      <c r="DO280" s="279">
        <f t="shared" ca="1" si="128"/>
        <v>0</v>
      </c>
    </row>
    <row r="281" spans="1:119" x14ac:dyDescent="0.25">
      <c r="A281" s="153">
        <f t="shared" si="116"/>
        <v>45340</v>
      </c>
      <c r="B281" s="154"/>
      <c r="C281" s="154"/>
      <c r="D281" s="154"/>
      <c r="E281" s="875" t="str">
        <f t="shared" ca="1" si="61"/>
        <v/>
      </c>
      <c r="F281" s="876"/>
      <c r="G281" s="667">
        <f t="shared" ca="1" si="117"/>
        <v>0</v>
      </c>
      <c r="H281" s="667">
        <f t="shared" ca="1" si="62"/>
        <v>0</v>
      </c>
      <c r="I281" s="667">
        <f t="shared" ca="1" si="63"/>
        <v>0</v>
      </c>
      <c r="J281"/>
      <c r="K281"/>
      <c r="P281" s="151">
        <f t="shared" si="64"/>
        <v>125</v>
      </c>
      <c r="R281" s="55">
        <f t="shared" si="65"/>
        <v>0</v>
      </c>
      <c r="S281" s="55">
        <f t="shared" si="66"/>
        <v>1</v>
      </c>
      <c r="U281" s="226">
        <f t="shared" si="118"/>
        <v>0</v>
      </c>
      <c r="V281" s="137">
        <f t="shared" ca="1" si="119"/>
        <v>0</v>
      </c>
      <c r="W281" s="137">
        <f t="shared" si="120"/>
        <v>0</v>
      </c>
      <c r="X281" s="137">
        <f t="shared" si="121"/>
        <v>0</v>
      </c>
      <c r="Y281" s="137">
        <f t="shared" ca="1" si="71"/>
        <v>0</v>
      </c>
      <c r="Z281" s="137">
        <f t="shared" ca="1" si="72"/>
        <v>0</v>
      </c>
      <c r="AA281" s="137">
        <f t="shared" ca="1" si="73"/>
        <v>0</v>
      </c>
      <c r="AB281" s="137">
        <f t="shared" ca="1" si="74"/>
        <v>0</v>
      </c>
      <c r="AC281" s="137">
        <f t="shared" ca="1" si="75"/>
        <v>0</v>
      </c>
      <c r="AD281" s="137">
        <f t="shared" ca="1" si="76"/>
        <v>0</v>
      </c>
      <c r="AE281" s="223">
        <f t="shared" ca="1" si="122"/>
        <v>0</v>
      </c>
      <c r="AF281" s="229" t="str">
        <f t="shared" ca="1" si="78"/>
        <v/>
      </c>
      <c r="AH281" s="235">
        <f t="shared" si="79"/>
        <v>45340</v>
      </c>
      <c r="AI281" s="137">
        <f t="shared" ca="1" si="80"/>
        <v>0</v>
      </c>
      <c r="AJ281" s="137">
        <f t="shared" si="81"/>
        <v>0</v>
      </c>
      <c r="AK281" s="137">
        <f t="shared" ca="1" si="82"/>
        <v>0</v>
      </c>
      <c r="AL281" s="137">
        <f t="shared" ca="1" si="83"/>
        <v>0</v>
      </c>
      <c r="AM281" s="137">
        <f t="shared" si="84"/>
        <v>0</v>
      </c>
      <c r="AN281" s="137">
        <f t="shared" ca="1" si="85"/>
        <v>0</v>
      </c>
      <c r="AO281" s="137">
        <f t="shared" ca="1" si="86"/>
        <v>0</v>
      </c>
      <c r="AP281" s="137">
        <f t="shared" ca="1" si="87"/>
        <v>0</v>
      </c>
      <c r="AQ281" s="137">
        <f t="shared" si="88"/>
        <v>0</v>
      </c>
      <c r="AR281" s="236">
        <f t="shared" ca="1" si="89"/>
        <v>0</v>
      </c>
      <c r="AT281" s="241">
        <f t="shared" ca="1" si="90"/>
        <v>28</v>
      </c>
      <c r="AV281" s="222">
        <f t="shared" ca="1" si="91"/>
        <v>0</v>
      </c>
      <c r="AW281" s="247">
        <f t="shared" si="92"/>
        <v>92</v>
      </c>
      <c r="AY281" s="239">
        <f ca="1">(AE281=5)*('  B  '!F$110=1)*OR(AND(AND(A281&gt;=S$220,A281&gt;=I$214),AND(A281&lt;=S$221,A281&lt;=I$215)),AND(AND(A281&gt;=S$230,A281&gt;=I$224),AND(A281&lt;=S$231,A281&lt;=I$225)),AND(AND(A281&gt;=S$240,A281&gt;=I$234),AND(A281&lt;=S$241,A281&lt;=I$235)))</f>
        <v>0</v>
      </c>
      <c r="BA281" s="222">
        <f t="shared" ca="1" si="93"/>
        <v>0</v>
      </c>
      <c r="BB281" s="55">
        <f t="shared" ca="1" si="94"/>
        <v>0</v>
      </c>
      <c r="BC281" s="247">
        <f t="shared" si="95"/>
        <v>182</v>
      </c>
      <c r="BE281" s="239">
        <f t="shared" ca="1" si="96"/>
        <v>0</v>
      </c>
      <c r="BG281" s="239">
        <f t="shared" ca="1" si="97"/>
        <v>0</v>
      </c>
      <c r="BI281" s="222"/>
      <c r="BJ281" s="137">
        <v>0</v>
      </c>
      <c r="BK281" s="137">
        <v>0</v>
      </c>
      <c r="BL281" s="137">
        <f t="shared" ca="1" si="98"/>
        <v>1</v>
      </c>
      <c r="BM281" s="137">
        <f t="shared" ca="1" si="99"/>
        <v>1</v>
      </c>
      <c r="BN281" s="137">
        <f ca="1">(A281&gt;=N_LFP_Startdatum)*IF('  B  '!F$110=1,NOT(OR(A281&gt;S$221,A281&gt;S$231,A281&gt;S$241)),IF(BB281&gt;BC281,0,1))</f>
        <v>1</v>
      </c>
      <c r="BO281" s="137">
        <f t="shared" ca="1" si="100"/>
        <v>1</v>
      </c>
      <c r="BP281" s="137">
        <v>0</v>
      </c>
      <c r="BQ281" s="137">
        <f t="shared" ca="1" si="101"/>
        <v>1</v>
      </c>
      <c r="BR281" s="653">
        <v>0</v>
      </c>
      <c r="BS281" s="224">
        <f ca="1">(A281&gt;=N_LFP_Startdatum)*IF('  B  '!F$110=1,NOT(OR(A281&gt;S$221,A281&gt;S$231,A281&gt;S$241)),IF(BB281&gt;BC281,0,1))</f>
        <v>1</v>
      </c>
      <c r="BU281" s="562">
        <f t="shared" ca="1" si="102"/>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103"/>
        <v>0</v>
      </c>
      <c r="CA281" s="156">
        <f t="shared" ca="1" si="104"/>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5"/>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6"/>
        <v>0</v>
      </c>
      <c r="CL281" s="270">
        <f t="shared" ca="1" si="107"/>
        <v>0</v>
      </c>
      <c r="CM281" s="265">
        <f t="shared" ca="1" si="108"/>
        <v>0</v>
      </c>
      <c r="CO281" s="222"/>
      <c r="CP281" s="137">
        <v>0</v>
      </c>
      <c r="CQ281" s="137">
        <v>0</v>
      </c>
      <c r="CR281" s="137">
        <v>0</v>
      </c>
      <c r="CS281" s="137">
        <f t="shared" ca="1" si="109"/>
        <v>0</v>
      </c>
      <c r="CT281" s="137">
        <f t="shared" ca="1" si="110"/>
        <v>0</v>
      </c>
      <c r="CU281" s="137">
        <f t="shared" ca="1" si="111"/>
        <v>0</v>
      </c>
      <c r="CV281" s="137">
        <v>0</v>
      </c>
      <c r="CW281" s="137">
        <f t="shared" ca="1" si="112"/>
        <v>0</v>
      </c>
      <c r="CX281" s="137">
        <v>0</v>
      </c>
      <c r="CY281" s="224">
        <f t="shared" ca="1" si="113"/>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23"/>
        <v>0</v>
      </c>
      <c r="DF281" s="279">
        <f t="shared" ca="1" si="124"/>
        <v>0</v>
      </c>
      <c r="DG281" s="280">
        <f t="shared" ca="1" si="125"/>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26"/>
        <v>0</v>
      </c>
      <c r="DN281" s="279">
        <f t="shared" ca="1" si="127"/>
        <v>0</v>
      </c>
      <c r="DO281" s="279">
        <f t="shared" ca="1" si="128"/>
        <v>0</v>
      </c>
    </row>
    <row r="282" spans="1:119" x14ac:dyDescent="0.25">
      <c r="A282" s="153">
        <f t="shared" si="116"/>
        <v>45341</v>
      </c>
      <c r="B282" s="154"/>
      <c r="C282" s="154"/>
      <c r="D282" s="154"/>
      <c r="E282" s="875" t="str">
        <f t="shared" ca="1" si="61"/>
        <v/>
      </c>
      <c r="F282" s="876"/>
      <c r="G282" s="667">
        <f t="shared" ca="1" si="117"/>
        <v>0</v>
      </c>
      <c r="H282" s="667">
        <f t="shared" ca="1" si="62"/>
        <v>0</v>
      </c>
      <c r="I282" s="667">
        <f t="shared" ca="1" si="63"/>
        <v>0</v>
      </c>
      <c r="J282"/>
      <c r="K282"/>
      <c r="P282" s="151">
        <f t="shared" si="64"/>
        <v>125</v>
      </c>
      <c r="R282" s="55">
        <f t="shared" si="65"/>
        <v>0</v>
      </c>
      <c r="S282" s="55">
        <f t="shared" si="66"/>
        <v>1</v>
      </c>
      <c r="U282" s="226">
        <f t="shared" si="118"/>
        <v>0</v>
      </c>
      <c r="V282" s="137">
        <f t="shared" ca="1" si="119"/>
        <v>0</v>
      </c>
      <c r="W282" s="137">
        <f t="shared" si="120"/>
        <v>0</v>
      </c>
      <c r="X282" s="137">
        <f t="shared" si="121"/>
        <v>0</v>
      </c>
      <c r="Y282" s="137">
        <f t="shared" ca="1" si="71"/>
        <v>0</v>
      </c>
      <c r="Z282" s="137">
        <f t="shared" ca="1" si="72"/>
        <v>0</v>
      </c>
      <c r="AA282" s="137">
        <f t="shared" ca="1" si="73"/>
        <v>0</v>
      </c>
      <c r="AB282" s="137">
        <f t="shared" ca="1" si="74"/>
        <v>0</v>
      </c>
      <c r="AC282" s="137">
        <f t="shared" ca="1" si="75"/>
        <v>0</v>
      </c>
      <c r="AD282" s="137">
        <f t="shared" ca="1" si="76"/>
        <v>0</v>
      </c>
      <c r="AE282" s="223">
        <f t="shared" ca="1" si="122"/>
        <v>0</v>
      </c>
      <c r="AF282" s="229" t="str">
        <f t="shared" ca="1" si="78"/>
        <v/>
      </c>
      <c r="AH282" s="235">
        <f t="shared" si="79"/>
        <v>45341</v>
      </c>
      <c r="AI282" s="137">
        <f t="shared" ca="1" si="80"/>
        <v>0</v>
      </c>
      <c r="AJ282" s="137">
        <f t="shared" si="81"/>
        <v>0</v>
      </c>
      <c r="AK282" s="137">
        <f t="shared" ca="1" si="82"/>
        <v>0</v>
      </c>
      <c r="AL282" s="137">
        <f t="shared" ca="1" si="83"/>
        <v>0</v>
      </c>
      <c r="AM282" s="137">
        <f t="shared" si="84"/>
        <v>0</v>
      </c>
      <c r="AN282" s="137">
        <f t="shared" ca="1" si="85"/>
        <v>0</v>
      </c>
      <c r="AO282" s="137">
        <f t="shared" ca="1" si="86"/>
        <v>0</v>
      </c>
      <c r="AP282" s="137">
        <f t="shared" ca="1" si="87"/>
        <v>0</v>
      </c>
      <c r="AQ282" s="137">
        <f t="shared" si="88"/>
        <v>0</v>
      </c>
      <c r="AR282" s="236">
        <f t="shared" ca="1" si="89"/>
        <v>0</v>
      </c>
      <c r="AT282" s="241">
        <f t="shared" ca="1" si="90"/>
        <v>28</v>
      </c>
      <c r="AV282" s="222">
        <f t="shared" ca="1" si="91"/>
        <v>0</v>
      </c>
      <c r="AW282" s="247">
        <f t="shared" si="92"/>
        <v>92</v>
      </c>
      <c r="AY282" s="239">
        <f ca="1">(AE282=5)*('  B  '!F$110=1)*OR(AND(AND(A282&gt;=S$220,A282&gt;=I$214),AND(A282&lt;=S$221,A282&lt;=I$215)),AND(AND(A282&gt;=S$230,A282&gt;=I$224),AND(A282&lt;=S$231,A282&lt;=I$225)),AND(AND(A282&gt;=S$240,A282&gt;=I$234),AND(A282&lt;=S$241,A282&lt;=I$235)))</f>
        <v>0</v>
      </c>
      <c r="BA282" s="222">
        <f t="shared" ca="1" si="93"/>
        <v>0</v>
      </c>
      <c r="BB282" s="55">
        <f t="shared" ca="1" si="94"/>
        <v>0</v>
      </c>
      <c r="BC282" s="247">
        <f t="shared" si="95"/>
        <v>182</v>
      </c>
      <c r="BE282" s="239">
        <f t="shared" ca="1" si="96"/>
        <v>0</v>
      </c>
      <c r="BG282" s="239">
        <f t="shared" ca="1" si="97"/>
        <v>0</v>
      </c>
      <c r="BI282" s="222"/>
      <c r="BJ282" s="137">
        <v>0</v>
      </c>
      <c r="BK282" s="137">
        <v>0</v>
      </c>
      <c r="BL282" s="137">
        <f t="shared" ca="1" si="98"/>
        <v>1</v>
      </c>
      <c r="BM282" s="137">
        <f t="shared" ca="1" si="99"/>
        <v>1</v>
      </c>
      <c r="BN282" s="137">
        <f ca="1">(A282&gt;=N_LFP_Startdatum)*IF('  B  '!F$110=1,NOT(OR(A282&gt;S$221,A282&gt;S$231,A282&gt;S$241)),IF(BB282&gt;BC282,0,1))</f>
        <v>1</v>
      </c>
      <c r="BO282" s="137">
        <f t="shared" ca="1" si="100"/>
        <v>1</v>
      </c>
      <c r="BP282" s="137">
        <v>0</v>
      </c>
      <c r="BQ282" s="137">
        <f t="shared" ca="1" si="101"/>
        <v>1</v>
      </c>
      <c r="BR282" s="653">
        <v>0</v>
      </c>
      <c r="BS282" s="224">
        <f ca="1">(A282&gt;=N_LFP_Startdatum)*IF('  B  '!F$110=1,NOT(OR(A282&gt;S$221,A282&gt;S$231,A282&gt;S$241)),IF(BB282&gt;BC282,0,1))</f>
        <v>1</v>
      </c>
      <c r="BU282" s="562">
        <f t="shared" ca="1" si="102"/>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103"/>
        <v>0</v>
      </c>
      <c r="CA282" s="156">
        <f t="shared" ca="1" si="104"/>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5"/>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6"/>
        <v>0</v>
      </c>
      <c r="CL282" s="270">
        <f t="shared" ca="1" si="107"/>
        <v>0</v>
      </c>
      <c r="CM282" s="265">
        <f t="shared" ca="1" si="108"/>
        <v>0</v>
      </c>
      <c r="CO282" s="222"/>
      <c r="CP282" s="137">
        <v>0</v>
      </c>
      <c r="CQ282" s="137">
        <v>0</v>
      </c>
      <c r="CR282" s="137">
        <v>0</v>
      </c>
      <c r="CS282" s="137">
        <f t="shared" ca="1" si="109"/>
        <v>0</v>
      </c>
      <c r="CT282" s="137">
        <f t="shared" ca="1" si="110"/>
        <v>0</v>
      </c>
      <c r="CU282" s="137">
        <f t="shared" ca="1" si="111"/>
        <v>0</v>
      </c>
      <c r="CV282" s="137">
        <v>0</v>
      </c>
      <c r="CW282" s="137">
        <f t="shared" ca="1" si="112"/>
        <v>0</v>
      </c>
      <c r="CX282" s="137">
        <v>0</v>
      </c>
      <c r="CY282" s="224">
        <f t="shared" ca="1" si="113"/>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23"/>
        <v>0</v>
      </c>
      <c r="DF282" s="279">
        <f t="shared" ca="1" si="124"/>
        <v>0</v>
      </c>
      <c r="DG282" s="280">
        <f t="shared" ca="1" si="125"/>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26"/>
        <v>0</v>
      </c>
      <c r="DN282" s="279">
        <f t="shared" ca="1" si="127"/>
        <v>0</v>
      </c>
      <c r="DO282" s="279">
        <f t="shared" ca="1" si="128"/>
        <v>0</v>
      </c>
    </row>
    <row r="283" spans="1:119" x14ac:dyDescent="0.25">
      <c r="A283" s="153">
        <f t="shared" si="116"/>
        <v>45342</v>
      </c>
      <c r="B283" s="154"/>
      <c r="C283" s="154"/>
      <c r="D283" s="154"/>
      <c r="E283" s="875" t="str">
        <f t="shared" ca="1" si="61"/>
        <v/>
      </c>
      <c r="F283" s="876"/>
      <c r="G283" s="667">
        <f t="shared" ca="1" si="117"/>
        <v>0</v>
      </c>
      <c r="H283" s="667">
        <f t="shared" ca="1" si="62"/>
        <v>0</v>
      </c>
      <c r="I283" s="667">
        <f t="shared" ca="1" si="63"/>
        <v>0</v>
      </c>
      <c r="J283"/>
      <c r="K283"/>
      <c r="P283" s="151">
        <f t="shared" si="64"/>
        <v>125</v>
      </c>
      <c r="R283" s="55">
        <f t="shared" si="65"/>
        <v>0</v>
      </c>
      <c r="S283" s="55">
        <f t="shared" si="66"/>
        <v>1</v>
      </c>
      <c r="U283" s="226">
        <f t="shared" si="118"/>
        <v>0</v>
      </c>
      <c r="V283" s="137">
        <f t="shared" ca="1" si="119"/>
        <v>0</v>
      </c>
      <c r="W283" s="137">
        <f t="shared" si="120"/>
        <v>0</v>
      </c>
      <c r="X283" s="137">
        <f t="shared" si="121"/>
        <v>0</v>
      </c>
      <c r="Y283" s="137">
        <f t="shared" ca="1" si="71"/>
        <v>0</v>
      </c>
      <c r="Z283" s="137">
        <f t="shared" ca="1" si="72"/>
        <v>0</v>
      </c>
      <c r="AA283" s="137">
        <f t="shared" ca="1" si="73"/>
        <v>0</v>
      </c>
      <c r="AB283" s="137">
        <f t="shared" ca="1" si="74"/>
        <v>0</v>
      </c>
      <c r="AC283" s="137">
        <f t="shared" ca="1" si="75"/>
        <v>0</v>
      </c>
      <c r="AD283" s="137">
        <f t="shared" ca="1" si="76"/>
        <v>0</v>
      </c>
      <c r="AE283" s="223">
        <f t="shared" ca="1" si="122"/>
        <v>0</v>
      </c>
      <c r="AF283" s="229" t="str">
        <f t="shared" ca="1" si="78"/>
        <v/>
      </c>
      <c r="AH283" s="235">
        <f t="shared" si="79"/>
        <v>45342</v>
      </c>
      <c r="AI283" s="137">
        <f t="shared" ca="1" si="80"/>
        <v>0</v>
      </c>
      <c r="AJ283" s="137">
        <f t="shared" si="81"/>
        <v>0</v>
      </c>
      <c r="AK283" s="137">
        <f t="shared" ca="1" si="82"/>
        <v>0</v>
      </c>
      <c r="AL283" s="137">
        <f t="shared" ca="1" si="83"/>
        <v>0</v>
      </c>
      <c r="AM283" s="137">
        <f t="shared" si="84"/>
        <v>0</v>
      </c>
      <c r="AN283" s="137">
        <f t="shared" ca="1" si="85"/>
        <v>0</v>
      </c>
      <c r="AO283" s="137">
        <f t="shared" ca="1" si="86"/>
        <v>0</v>
      </c>
      <c r="AP283" s="137">
        <f t="shared" ca="1" si="87"/>
        <v>0</v>
      </c>
      <c r="AQ283" s="137">
        <f t="shared" si="88"/>
        <v>0</v>
      </c>
      <c r="AR283" s="236">
        <f t="shared" ca="1" si="89"/>
        <v>0</v>
      </c>
      <c r="AT283" s="241">
        <f t="shared" ca="1" si="90"/>
        <v>28</v>
      </c>
      <c r="AV283" s="222">
        <f t="shared" ca="1" si="91"/>
        <v>0</v>
      </c>
      <c r="AW283" s="247">
        <f t="shared" si="92"/>
        <v>92</v>
      </c>
      <c r="AY283" s="239">
        <f ca="1">(AE283=5)*('  B  '!F$110=1)*OR(AND(AND(A283&gt;=S$220,A283&gt;=I$214),AND(A283&lt;=S$221,A283&lt;=I$215)),AND(AND(A283&gt;=S$230,A283&gt;=I$224),AND(A283&lt;=S$231,A283&lt;=I$225)),AND(AND(A283&gt;=S$240,A283&gt;=I$234),AND(A283&lt;=S$241,A283&lt;=I$235)))</f>
        <v>0</v>
      </c>
      <c r="BA283" s="222">
        <f t="shared" ca="1" si="93"/>
        <v>0</v>
      </c>
      <c r="BB283" s="55">
        <f t="shared" ca="1" si="94"/>
        <v>0</v>
      </c>
      <c r="BC283" s="247">
        <f t="shared" si="95"/>
        <v>182</v>
      </c>
      <c r="BE283" s="239">
        <f t="shared" ca="1" si="96"/>
        <v>0</v>
      </c>
      <c r="BG283" s="239">
        <f t="shared" ca="1" si="97"/>
        <v>0</v>
      </c>
      <c r="BI283" s="222"/>
      <c r="BJ283" s="137">
        <v>0</v>
      </c>
      <c r="BK283" s="137">
        <v>0</v>
      </c>
      <c r="BL283" s="137">
        <f t="shared" ca="1" si="98"/>
        <v>1</v>
      </c>
      <c r="BM283" s="137">
        <f t="shared" ca="1" si="99"/>
        <v>1</v>
      </c>
      <c r="BN283" s="137">
        <f ca="1">(A283&gt;=N_LFP_Startdatum)*IF('  B  '!F$110=1,NOT(OR(A283&gt;S$221,A283&gt;S$231,A283&gt;S$241)),IF(BB283&gt;BC283,0,1))</f>
        <v>1</v>
      </c>
      <c r="BO283" s="137">
        <f t="shared" ca="1" si="100"/>
        <v>1</v>
      </c>
      <c r="BP283" s="137">
        <v>0</v>
      </c>
      <c r="BQ283" s="137">
        <f t="shared" ca="1" si="101"/>
        <v>1</v>
      </c>
      <c r="BR283" s="653">
        <v>0</v>
      </c>
      <c r="BS283" s="224">
        <f ca="1">(A283&gt;=N_LFP_Startdatum)*IF('  B  '!F$110=1,NOT(OR(A283&gt;S$221,A283&gt;S$231,A283&gt;S$241)),IF(BB283&gt;BC283,0,1))</f>
        <v>1</v>
      </c>
      <c r="BU283" s="562">
        <f t="shared" ca="1" si="102"/>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103"/>
        <v>0</v>
      </c>
      <c r="CA283" s="156">
        <f t="shared" ca="1" si="104"/>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5"/>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6"/>
        <v>0</v>
      </c>
      <c r="CL283" s="270">
        <f t="shared" ca="1" si="107"/>
        <v>0</v>
      </c>
      <c r="CM283" s="265">
        <f t="shared" ca="1" si="108"/>
        <v>0</v>
      </c>
      <c r="CO283" s="222"/>
      <c r="CP283" s="137">
        <v>0</v>
      </c>
      <c r="CQ283" s="137">
        <v>0</v>
      </c>
      <c r="CR283" s="137">
        <v>0</v>
      </c>
      <c r="CS283" s="137">
        <f t="shared" ca="1" si="109"/>
        <v>0</v>
      </c>
      <c r="CT283" s="137">
        <f t="shared" ca="1" si="110"/>
        <v>0</v>
      </c>
      <c r="CU283" s="137">
        <f t="shared" ca="1" si="111"/>
        <v>0</v>
      </c>
      <c r="CV283" s="137">
        <v>0</v>
      </c>
      <c r="CW283" s="137">
        <f t="shared" ca="1" si="112"/>
        <v>0</v>
      </c>
      <c r="CX283" s="137">
        <v>0</v>
      </c>
      <c r="CY283" s="224">
        <f t="shared" ca="1" si="113"/>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23"/>
        <v>0</v>
      </c>
      <c r="DF283" s="279">
        <f t="shared" ca="1" si="124"/>
        <v>0</v>
      </c>
      <c r="DG283" s="280">
        <f t="shared" ca="1" si="125"/>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26"/>
        <v>0</v>
      </c>
      <c r="DN283" s="279">
        <f t="shared" ca="1" si="127"/>
        <v>0</v>
      </c>
      <c r="DO283" s="279">
        <f t="shared" ca="1" si="128"/>
        <v>0</v>
      </c>
    </row>
    <row r="284" spans="1:119" ht="12.75" customHeight="1" x14ac:dyDescent="0.25">
      <c r="A284" s="153">
        <f t="shared" si="116"/>
        <v>45343</v>
      </c>
      <c r="B284" s="154"/>
      <c r="C284" s="154"/>
      <c r="D284" s="154"/>
      <c r="E284" s="875" t="str">
        <f t="shared" ca="1" si="61"/>
        <v/>
      </c>
      <c r="F284" s="876"/>
      <c r="G284" s="667">
        <f t="shared" ca="1" si="117"/>
        <v>0</v>
      </c>
      <c r="H284" s="667">
        <f t="shared" ca="1" si="62"/>
        <v>0</v>
      </c>
      <c r="I284" s="667">
        <f t="shared" ca="1" si="63"/>
        <v>0</v>
      </c>
      <c r="J284"/>
      <c r="K284"/>
      <c r="P284" s="151">
        <f t="shared" si="64"/>
        <v>125</v>
      </c>
      <c r="R284" s="55">
        <f t="shared" si="65"/>
        <v>0</v>
      </c>
      <c r="S284" s="55">
        <f t="shared" si="66"/>
        <v>1</v>
      </c>
      <c r="U284" s="226">
        <f t="shared" si="118"/>
        <v>0</v>
      </c>
      <c r="V284" s="137">
        <f t="shared" ca="1" si="119"/>
        <v>0</v>
      </c>
      <c r="W284" s="137">
        <f t="shared" si="120"/>
        <v>0</v>
      </c>
      <c r="X284" s="137">
        <f t="shared" si="121"/>
        <v>0</v>
      </c>
      <c r="Y284" s="137">
        <f t="shared" ca="1" si="71"/>
        <v>0</v>
      </c>
      <c r="Z284" s="137">
        <f t="shared" ca="1" si="72"/>
        <v>0</v>
      </c>
      <c r="AA284" s="137">
        <f t="shared" ca="1" si="73"/>
        <v>0</v>
      </c>
      <c r="AB284" s="137">
        <f t="shared" ca="1" si="74"/>
        <v>0</v>
      </c>
      <c r="AC284" s="137">
        <f t="shared" ca="1" si="75"/>
        <v>0</v>
      </c>
      <c r="AD284" s="137">
        <f t="shared" ca="1" si="76"/>
        <v>0</v>
      </c>
      <c r="AE284" s="223">
        <f t="shared" ca="1" si="122"/>
        <v>0</v>
      </c>
      <c r="AF284" s="229" t="str">
        <f t="shared" ca="1" si="78"/>
        <v/>
      </c>
      <c r="AH284" s="235">
        <f t="shared" si="79"/>
        <v>45343</v>
      </c>
      <c r="AI284" s="137">
        <f t="shared" ca="1" si="80"/>
        <v>0</v>
      </c>
      <c r="AJ284" s="137">
        <f t="shared" si="81"/>
        <v>0</v>
      </c>
      <c r="AK284" s="137">
        <f t="shared" ca="1" si="82"/>
        <v>0</v>
      </c>
      <c r="AL284" s="137">
        <f t="shared" ca="1" si="83"/>
        <v>0</v>
      </c>
      <c r="AM284" s="137">
        <f t="shared" si="84"/>
        <v>0</v>
      </c>
      <c r="AN284" s="137">
        <f t="shared" ca="1" si="85"/>
        <v>0</v>
      </c>
      <c r="AO284" s="137">
        <f t="shared" ca="1" si="86"/>
        <v>0</v>
      </c>
      <c r="AP284" s="137">
        <f t="shared" ca="1" si="87"/>
        <v>0</v>
      </c>
      <c r="AQ284" s="137">
        <f t="shared" si="88"/>
        <v>0</v>
      </c>
      <c r="AR284" s="236">
        <f t="shared" ca="1" si="89"/>
        <v>0</v>
      </c>
      <c r="AT284" s="241">
        <f t="shared" ca="1" si="90"/>
        <v>28</v>
      </c>
      <c r="AV284" s="222">
        <f t="shared" ca="1" si="91"/>
        <v>0</v>
      </c>
      <c r="AW284" s="247">
        <f t="shared" si="92"/>
        <v>92</v>
      </c>
      <c r="AY284" s="239">
        <f ca="1">(AE284=5)*('  B  '!F$110=1)*OR(AND(AND(A284&gt;=S$220,A284&gt;=I$214),AND(A284&lt;=S$221,A284&lt;=I$215)),AND(AND(A284&gt;=S$230,A284&gt;=I$224),AND(A284&lt;=S$231,A284&lt;=I$225)),AND(AND(A284&gt;=S$240,A284&gt;=I$234),AND(A284&lt;=S$241,A284&lt;=I$235)))</f>
        <v>0</v>
      </c>
      <c r="BA284" s="222">
        <f t="shared" ca="1" si="93"/>
        <v>0</v>
      </c>
      <c r="BB284" s="55">
        <f t="shared" ca="1" si="94"/>
        <v>0</v>
      </c>
      <c r="BC284" s="247">
        <f t="shared" si="95"/>
        <v>182</v>
      </c>
      <c r="BE284" s="239">
        <f t="shared" ca="1" si="96"/>
        <v>0</v>
      </c>
      <c r="BG284" s="239">
        <f t="shared" ca="1" si="97"/>
        <v>0</v>
      </c>
      <c r="BI284" s="222"/>
      <c r="BJ284" s="137">
        <v>0</v>
      </c>
      <c r="BK284" s="137">
        <v>0</v>
      </c>
      <c r="BL284" s="137">
        <f t="shared" ca="1" si="98"/>
        <v>1</v>
      </c>
      <c r="BM284" s="137">
        <f t="shared" ca="1" si="99"/>
        <v>1</v>
      </c>
      <c r="BN284" s="137">
        <f ca="1">(A284&gt;=N_LFP_Startdatum)*IF('  B  '!F$110=1,NOT(OR(A284&gt;S$221,A284&gt;S$231,A284&gt;S$241)),IF(BB284&gt;BC284,0,1))</f>
        <v>1</v>
      </c>
      <c r="BO284" s="137">
        <f t="shared" ca="1" si="100"/>
        <v>1</v>
      </c>
      <c r="BP284" s="137">
        <v>0</v>
      </c>
      <c r="BQ284" s="137">
        <f t="shared" ca="1" si="101"/>
        <v>1</v>
      </c>
      <c r="BR284" s="653">
        <v>0</v>
      </c>
      <c r="BS284" s="224">
        <f ca="1">(A284&gt;=N_LFP_Startdatum)*IF('  B  '!F$110=1,NOT(OR(A284&gt;S$221,A284&gt;S$231,A284&gt;S$241)),IF(BB284&gt;BC284,0,1))</f>
        <v>1</v>
      </c>
      <c r="BU284" s="562">
        <f t="shared" ca="1" si="102"/>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103"/>
        <v>0</v>
      </c>
      <c r="CA284" s="156">
        <f t="shared" ca="1" si="104"/>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5"/>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6"/>
        <v>0</v>
      </c>
      <c r="CL284" s="270">
        <f t="shared" ca="1" si="107"/>
        <v>0</v>
      </c>
      <c r="CM284" s="265">
        <f t="shared" ca="1" si="108"/>
        <v>0</v>
      </c>
      <c r="CO284" s="222"/>
      <c r="CP284" s="137">
        <v>0</v>
      </c>
      <c r="CQ284" s="137">
        <v>0</v>
      </c>
      <c r="CR284" s="137">
        <v>0</v>
      </c>
      <c r="CS284" s="137">
        <f t="shared" ca="1" si="109"/>
        <v>0</v>
      </c>
      <c r="CT284" s="137">
        <f t="shared" ca="1" si="110"/>
        <v>0</v>
      </c>
      <c r="CU284" s="137">
        <f t="shared" ca="1" si="111"/>
        <v>0</v>
      </c>
      <c r="CV284" s="137">
        <v>0</v>
      </c>
      <c r="CW284" s="137">
        <f t="shared" ca="1" si="112"/>
        <v>0</v>
      </c>
      <c r="CX284" s="137">
        <v>0</v>
      </c>
      <c r="CY284" s="224">
        <f t="shared" ca="1" si="113"/>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23"/>
        <v>0</v>
      </c>
      <c r="DF284" s="279">
        <f t="shared" ca="1" si="124"/>
        <v>0</v>
      </c>
      <c r="DG284" s="280">
        <f t="shared" ca="1" si="125"/>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26"/>
        <v>0</v>
      </c>
      <c r="DN284" s="279">
        <f t="shared" ca="1" si="127"/>
        <v>0</v>
      </c>
      <c r="DO284" s="279">
        <f t="shared" ca="1" si="128"/>
        <v>0</v>
      </c>
    </row>
    <row r="285" spans="1:119" x14ac:dyDescent="0.25">
      <c r="A285" s="153">
        <f t="shared" si="116"/>
        <v>45344</v>
      </c>
      <c r="B285" s="154"/>
      <c r="C285" s="154"/>
      <c r="D285" s="154"/>
      <c r="E285" s="875" t="str">
        <f t="shared" ca="1" si="61"/>
        <v/>
      </c>
      <c r="F285" s="876"/>
      <c r="G285" s="667">
        <f t="shared" ca="1" si="117"/>
        <v>0</v>
      </c>
      <c r="H285" s="667">
        <f t="shared" ca="1" si="62"/>
        <v>0</v>
      </c>
      <c r="I285" s="667">
        <f t="shared" ca="1" si="63"/>
        <v>0</v>
      </c>
      <c r="J285"/>
      <c r="K285"/>
      <c r="P285" s="151">
        <f t="shared" si="64"/>
        <v>125</v>
      </c>
      <c r="R285" s="55">
        <f t="shared" si="65"/>
        <v>0</v>
      </c>
      <c r="S285" s="55">
        <f t="shared" si="66"/>
        <v>1</v>
      </c>
      <c r="U285" s="226">
        <f t="shared" si="118"/>
        <v>0</v>
      </c>
      <c r="V285" s="137">
        <f t="shared" ca="1" si="119"/>
        <v>0</v>
      </c>
      <c r="W285" s="137">
        <f t="shared" si="120"/>
        <v>0</v>
      </c>
      <c r="X285" s="137">
        <f t="shared" si="121"/>
        <v>0</v>
      </c>
      <c r="Y285" s="137">
        <f t="shared" ca="1" si="71"/>
        <v>0</v>
      </c>
      <c r="Z285" s="137">
        <f t="shared" ca="1" si="72"/>
        <v>0</v>
      </c>
      <c r="AA285" s="137">
        <f t="shared" ca="1" si="73"/>
        <v>0</v>
      </c>
      <c r="AB285" s="137">
        <f t="shared" ca="1" si="74"/>
        <v>0</v>
      </c>
      <c r="AC285" s="137">
        <f t="shared" ca="1" si="75"/>
        <v>0</v>
      </c>
      <c r="AD285" s="137">
        <f t="shared" ca="1" si="76"/>
        <v>0</v>
      </c>
      <c r="AE285" s="223">
        <f t="shared" ca="1" si="122"/>
        <v>0</v>
      </c>
      <c r="AF285" s="229" t="str">
        <f t="shared" ca="1" si="78"/>
        <v/>
      </c>
      <c r="AH285" s="235">
        <f t="shared" si="79"/>
        <v>45344</v>
      </c>
      <c r="AI285" s="137">
        <f t="shared" ca="1" si="80"/>
        <v>0</v>
      </c>
      <c r="AJ285" s="137">
        <f t="shared" si="81"/>
        <v>0</v>
      </c>
      <c r="AK285" s="137">
        <f t="shared" ca="1" si="82"/>
        <v>0</v>
      </c>
      <c r="AL285" s="137">
        <f t="shared" ca="1" si="83"/>
        <v>0</v>
      </c>
      <c r="AM285" s="137">
        <f t="shared" si="84"/>
        <v>0</v>
      </c>
      <c r="AN285" s="137">
        <f t="shared" ca="1" si="85"/>
        <v>0</v>
      </c>
      <c r="AO285" s="137">
        <f t="shared" ca="1" si="86"/>
        <v>0</v>
      </c>
      <c r="AP285" s="137">
        <f t="shared" ca="1" si="87"/>
        <v>0</v>
      </c>
      <c r="AQ285" s="137">
        <f t="shared" si="88"/>
        <v>0</v>
      </c>
      <c r="AR285" s="236">
        <f t="shared" ca="1" si="89"/>
        <v>0</v>
      </c>
      <c r="AT285" s="241">
        <f t="shared" ca="1" si="90"/>
        <v>28</v>
      </c>
      <c r="AV285" s="222">
        <f t="shared" ca="1" si="91"/>
        <v>0</v>
      </c>
      <c r="AW285" s="247">
        <f t="shared" si="92"/>
        <v>92</v>
      </c>
      <c r="AY285" s="239">
        <f ca="1">(AE285=5)*('  B  '!F$110=1)*OR(AND(AND(A285&gt;=S$220,A285&gt;=I$214),AND(A285&lt;=S$221,A285&lt;=I$215)),AND(AND(A285&gt;=S$230,A285&gt;=I$224),AND(A285&lt;=S$231,A285&lt;=I$225)),AND(AND(A285&gt;=S$240,A285&gt;=I$234),AND(A285&lt;=S$241,A285&lt;=I$235)))</f>
        <v>0</v>
      </c>
      <c r="BA285" s="222">
        <f t="shared" ca="1" si="93"/>
        <v>0</v>
      </c>
      <c r="BB285" s="55">
        <f t="shared" ca="1" si="94"/>
        <v>0</v>
      </c>
      <c r="BC285" s="247">
        <f t="shared" si="95"/>
        <v>182</v>
      </c>
      <c r="BE285" s="239">
        <f t="shared" ca="1" si="96"/>
        <v>0</v>
      </c>
      <c r="BG285" s="239">
        <f t="shared" ca="1" si="97"/>
        <v>0</v>
      </c>
      <c r="BI285" s="222"/>
      <c r="BJ285" s="137">
        <v>0</v>
      </c>
      <c r="BK285" s="137">
        <v>0</v>
      </c>
      <c r="BL285" s="137">
        <f t="shared" ca="1" si="98"/>
        <v>1</v>
      </c>
      <c r="BM285" s="137">
        <f t="shared" ca="1" si="99"/>
        <v>1</v>
      </c>
      <c r="BN285" s="137">
        <f ca="1">(A285&gt;=N_LFP_Startdatum)*IF('  B  '!F$110=1,NOT(OR(A285&gt;S$221,A285&gt;S$231,A285&gt;S$241)),IF(BB285&gt;BC285,0,1))</f>
        <v>1</v>
      </c>
      <c r="BO285" s="137">
        <f t="shared" ca="1" si="100"/>
        <v>1</v>
      </c>
      <c r="BP285" s="137">
        <v>0</v>
      </c>
      <c r="BQ285" s="137">
        <f t="shared" ca="1" si="101"/>
        <v>1</v>
      </c>
      <c r="BR285" s="653">
        <v>0</v>
      </c>
      <c r="BS285" s="224">
        <f ca="1">(A285&gt;=N_LFP_Startdatum)*IF('  B  '!F$110=1,NOT(OR(A285&gt;S$221,A285&gt;S$231,A285&gt;S$241)),IF(BB285&gt;BC285,0,1))</f>
        <v>1</v>
      </c>
      <c r="BU285" s="562">
        <f t="shared" ca="1" si="102"/>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103"/>
        <v>0</v>
      </c>
      <c r="CA285" s="156">
        <f t="shared" ca="1" si="104"/>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5"/>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6"/>
        <v>0</v>
      </c>
      <c r="CL285" s="270">
        <f t="shared" ca="1" si="107"/>
        <v>0</v>
      </c>
      <c r="CM285" s="265">
        <f t="shared" ca="1" si="108"/>
        <v>0</v>
      </c>
      <c r="CO285" s="222"/>
      <c r="CP285" s="137">
        <v>0</v>
      </c>
      <c r="CQ285" s="137">
        <v>0</v>
      </c>
      <c r="CR285" s="137">
        <v>0</v>
      </c>
      <c r="CS285" s="137">
        <f t="shared" ca="1" si="109"/>
        <v>0</v>
      </c>
      <c r="CT285" s="137">
        <f t="shared" ca="1" si="110"/>
        <v>0</v>
      </c>
      <c r="CU285" s="137">
        <f t="shared" ca="1" si="111"/>
        <v>0</v>
      </c>
      <c r="CV285" s="137">
        <v>0</v>
      </c>
      <c r="CW285" s="137">
        <f t="shared" ca="1" si="112"/>
        <v>0</v>
      </c>
      <c r="CX285" s="137">
        <v>0</v>
      </c>
      <c r="CY285" s="224">
        <f t="shared" ca="1" si="113"/>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23"/>
        <v>0</v>
      </c>
      <c r="DF285" s="279">
        <f t="shared" ca="1" si="124"/>
        <v>0</v>
      </c>
      <c r="DG285" s="280">
        <f t="shared" ca="1" si="125"/>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26"/>
        <v>0</v>
      </c>
      <c r="DN285" s="279">
        <f t="shared" ca="1" si="127"/>
        <v>0</v>
      </c>
      <c r="DO285" s="279">
        <f t="shared" ca="1" si="128"/>
        <v>0</v>
      </c>
    </row>
    <row r="286" spans="1:119" x14ac:dyDescent="0.25">
      <c r="A286" s="153">
        <f t="shared" si="116"/>
        <v>45345</v>
      </c>
      <c r="B286" s="154"/>
      <c r="C286" s="154"/>
      <c r="D286" s="154"/>
      <c r="E286" s="875" t="str">
        <f t="shared" ca="1" si="61"/>
        <v/>
      </c>
      <c r="F286" s="876"/>
      <c r="G286" s="667">
        <f t="shared" ca="1" si="117"/>
        <v>0</v>
      </c>
      <c r="H286" s="667">
        <f t="shared" ca="1" si="62"/>
        <v>0</v>
      </c>
      <c r="I286" s="667">
        <f t="shared" ca="1" si="63"/>
        <v>0</v>
      </c>
      <c r="J286"/>
      <c r="K286"/>
      <c r="P286" s="151">
        <f t="shared" si="64"/>
        <v>125</v>
      </c>
      <c r="R286" s="55">
        <f t="shared" si="65"/>
        <v>0</v>
      </c>
      <c r="S286" s="55">
        <f t="shared" si="66"/>
        <v>1</v>
      </c>
      <c r="U286" s="226">
        <f t="shared" si="118"/>
        <v>0</v>
      </c>
      <c r="V286" s="137">
        <f t="shared" ca="1" si="119"/>
        <v>0</v>
      </c>
      <c r="W286" s="137">
        <f t="shared" si="120"/>
        <v>0</v>
      </c>
      <c r="X286" s="137">
        <f t="shared" si="121"/>
        <v>0</v>
      </c>
      <c r="Y286" s="137">
        <f t="shared" ca="1" si="71"/>
        <v>0</v>
      </c>
      <c r="Z286" s="137">
        <f t="shared" ca="1" si="72"/>
        <v>0</v>
      </c>
      <c r="AA286" s="137">
        <f t="shared" ca="1" si="73"/>
        <v>0</v>
      </c>
      <c r="AB286" s="137">
        <f t="shared" ca="1" si="74"/>
        <v>0</v>
      </c>
      <c r="AC286" s="137">
        <f t="shared" ca="1" si="75"/>
        <v>0</v>
      </c>
      <c r="AD286" s="137">
        <f t="shared" ca="1" si="76"/>
        <v>0</v>
      </c>
      <c r="AE286" s="223">
        <f t="shared" ca="1" si="122"/>
        <v>0</v>
      </c>
      <c r="AF286" s="229" t="str">
        <f t="shared" ca="1" si="78"/>
        <v/>
      </c>
      <c r="AH286" s="235">
        <f t="shared" si="79"/>
        <v>45345</v>
      </c>
      <c r="AI286" s="137">
        <f t="shared" ca="1" si="80"/>
        <v>0</v>
      </c>
      <c r="AJ286" s="137">
        <f t="shared" si="81"/>
        <v>0</v>
      </c>
      <c r="AK286" s="137">
        <f t="shared" ca="1" si="82"/>
        <v>0</v>
      </c>
      <c r="AL286" s="137">
        <f t="shared" ca="1" si="83"/>
        <v>0</v>
      </c>
      <c r="AM286" s="137">
        <f t="shared" si="84"/>
        <v>0</v>
      </c>
      <c r="AN286" s="137">
        <f t="shared" ca="1" si="85"/>
        <v>0</v>
      </c>
      <c r="AO286" s="137">
        <f t="shared" ca="1" si="86"/>
        <v>0</v>
      </c>
      <c r="AP286" s="137">
        <f t="shared" ca="1" si="87"/>
        <v>0</v>
      </c>
      <c r="AQ286" s="137">
        <f t="shared" si="88"/>
        <v>0</v>
      </c>
      <c r="AR286" s="236">
        <f t="shared" ca="1" si="89"/>
        <v>0</v>
      </c>
      <c r="AT286" s="241">
        <f t="shared" ca="1" si="90"/>
        <v>28</v>
      </c>
      <c r="AV286" s="222">
        <f t="shared" ca="1" si="91"/>
        <v>0</v>
      </c>
      <c r="AW286" s="247">
        <f t="shared" si="92"/>
        <v>92</v>
      </c>
      <c r="AY286" s="239">
        <f ca="1">(AE286=5)*('  B  '!F$110=1)*OR(AND(AND(A286&gt;=S$220,A286&gt;=I$214),AND(A286&lt;=S$221,A286&lt;=I$215)),AND(AND(A286&gt;=S$230,A286&gt;=I$224),AND(A286&lt;=S$231,A286&lt;=I$225)),AND(AND(A286&gt;=S$240,A286&gt;=I$234),AND(A286&lt;=S$241,A286&lt;=I$235)))</f>
        <v>0</v>
      </c>
      <c r="BA286" s="222">
        <f t="shared" ca="1" si="93"/>
        <v>0</v>
      </c>
      <c r="BB286" s="55">
        <f t="shared" ca="1" si="94"/>
        <v>0</v>
      </c>
      <c r="BC286" s="247">
        <f t="shared" si="95"/>
        <v>182</v>
      </c>
      <c r="BE286" s="239">
        <f t="shared" ca="1" si="96"/>
        <v>0</v>
      </c>
      <c r="BG286" s="239">
        <f t="shared" ca="1" si="97"/>
        <v>0</v>
      </c>
      <c r="BI286" s="222"/>
      <c r="BJ286" s="137">
        <v>0</v>
      </c>
      <c r="BK286" s="137">
        <v>0</v>
      </c>
      <c r="BL286" s="137">
        <f t="shared" ca="1" si="98"/>
        <v>1</v>
      </c>
      <c r="BM286" s="137">
        <f t="shared" ca="1" si="99"/>
        <v>1</v>
      </c>
      <c r="BN286" s="137">
        <f ca="1">(A286&gt;=N_LFP_Startdatum)*IF('  B  '!F$110=1,NOT(OR(A286&gt;S$221,A286&gt;S$231,A286&gt;S$241)),IF(BB286&gt;BC286,0,1))</f>
        <v>1</v>
      </c>
      <c r="BO286" s="137">
        <f t="shared" ca="1" si="100"/>
        <v>1</v>
      </c>
      <c r="BP286" s="137">
        <v>0</v>
      </c>
      <c r="BQ286" s="137">
        <f t="shared" ca="1" si="101"/>
        <v>1</v>
      </c>
      <c r="BR286" s="653">
        <v>0</v>
      </c>
      <c r="BS286" s="224">
        <f ca="1">(A286&gt;=N_LFP_Startdatum)*IF('  B  '!F$110=1,NOT(OR(A286&gt;S$221,A286&gt;S$231,A286&gt;S$241)),IF(BB286&gt;BC286,0,1))</f>
        <v>1</v>
      </c>
      <c r="BU286" s="562">
        <f t="shared" ca="1" si="102"/>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103"/>
        <v>0</v>
      </c>
      <c r="CA286" s="156">
        <f t="shared" ca="1" si="104"/>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5"/>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6"/>
        <v>0</v>
      </c>
      <c r="CL286" s="270">
        <f t="shared" ca="1" si="107"/>
        <v>0</v>
      </c>
      <c r="CM286" s="265">
        <f t="shared" ca="1" si="108"/>
        <v>0</v>
      </c>
      <c r="CO286" s="222"/>
      <c r="CP286" s="137">
        <v>0</v>
      </c>
      <c r="CQ286" s="137">
        <v>0</v>
      </c>
      <c r="CR286" s="137">
        <v>0</v>
      </c>
      <c r="CS286" s="137">
        <f t="shared" ca="1" si="109"/>
        <v>0</v>
      </c>
      <c r="CT286" s="137">
        <f t="shared" ca="1" si="110"/>
        <v>0</v>
      </c>
      <c r="CU286" s="137">
        <f t="shared" ca="1" si="111"/>
        <v>0</v>
      </c>
      <c r="CV286" s="137">
        <v>0</v>
      </c>
      <c r="CW286" s="137">
        <f t="shared" ca="1" si="112"/>
        <v>0</v>
      </c>
      <c r="CX286" s="137">
        <v>0</v>
      </c>
      <c r="CY286" s="224">
        <f t="shared" ca="1" si="113"/>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23"/>
        <v>0</v>
      </c>
      <c r="DF286" s="279">
        <f t="shared" ca="1" si="124"/>
        <v>0</v>
      </c>
      <c r="DG286" s="280">
        <f t="shared" ca="1" si="125"/>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26"/>
        <v>0</v>
      </c>
      <c r="DN286" s="279">
        <f t="shared" ca="1" si="127"/>
        <v>0</v>
      </c>
      <c r="DO286" s="279">
        <f t="shared" ca="1" si="128"/>
        <v>0</v>
      </c>
    </row>
    <row r="287" spans="1:119" x14ac:dyDescent="0.25">
      <c r="A287" s="153">
        <f t="shared" si="116"/>
        <v>45346</v>
      </c>
      <c r="B287" s="154"/>
      <c r="C287" s="154"/>
      <c r="D287" s="154"/>
      <c r="E287" s="875" t="str">
        <f t="shared" ca="1" si="61"/>
        <v/>
      </c>
      <c r="F287" s="876"/>
      <c r="G287" s="667">
        <f t="shared" ca="1" si="117"/>
        <v>0</v>
      </c>
      <c r="H287" s="667">
        <f t="shared" ca="1" si="62"/>
        <v>0</v>
      </c>
      <c r="I287" s="667">
        <f t="shared" ca="1" si="63"/>
        <v>0</v>
      </c>
      <c r="J287"/>
      <c r="K287"/>
      <c r="P287" s="151">
        <f t="shared" si="64"/>
        <v>125</v>
      </c>
      <c r="R287" s="55">
        <f t="shared" si="65"/>
        <v>0</v>
      </c>
      <c r="S287" s="55">
        <f t="shared" si="66"/>
        <v>1</v>
      </c>
      <c r="U287" s="226">
        <f t="shared" si="118"/>
        <v>0</v>
      </c>
      <c r="V287" s="137">
        <f t="shared" ca="1" si="119"/>
        <v>0</v>
      </c>
      <c r="W287" s="137">
        <f t="shared" si="120"/>
        <v>0</v>
      </c>
      <c r="X287" s="137">
        <f t="shared" si="121"/>
        <v>0</v>
      </c>
      <c r="Y287" s="137">
        <f t="shared" ca="1" si="71"/>
        <v>0</v>
      </c>
      <c r="Z287" s="137">
        <f t="shared" ca="1" si="72"/>
        <v>0</v>
      </c>
      <c r="AA287" s="137">
        <f t="shared" ca="1" si="73"/>
        <v>0</v>
      </c>
      <c r="AB287" s="137">
        <f t="shared" ca="1" si="74"/>
        <v>0</v>
      </c>
      <c r="AC287" s="137">
        <f t="shared" ca="1" si="75"/>
        <v>0</v>
      </c>
      <c r="AD287" s="137">
        <f t="shared" ca="1" si="76"/>
        <v>0</v>
      </c>
      <c r="AE287" s="223">
        <f t="shared" ca="1" si="122"/>
        <v>0</v>
      </c>
      <c r="AF287" s="229" t="str">
        <f t="shared" ca="1" si="78"/>
        <v/>
      </c>
      <c r="AH287" s="235">
        <f t="shared" si="79"/>
        <v>45346</v>
      </c>
      <c r="AI287" s="137">
        <f t="shared" ca="1" si="80"/>
        <v>0</v>
      </c>
      <c r="AJ287" s="137">
        <f t="shared" si="81"/>
        <v>0</v>
      </c>
      <c r="AK287" s="137">
        <f t="shared" ca="1" si="82"/>
        <v>0</v>
      </c>
      <c r="AL287" s="137">
        <f t="shared" ca="1" si="83"/>
        <v>0</v>
      </c>
      <c r="AM287" s="137">
        <f t="shared" si="84"/>
        <v>0</v>
      </c>
      <c r="AN287" s="137">
        <f t="shared" ca="1" si="85"/>
        <v>0</v>
      </c>
      <c r="AO287" s="137">
        <f t="shared" ca="1" si="86"/>
        <v>0</v>
      </c>
      <c r="AP287" s="137">
        <f t="shared" ca="1" si="87"/>
        <v>0</v>
      </c>
      <c r="AQ287" s="137">
        <f t="shared" si="88"/>
        <v>0</v>
      </c>
      <c r="AR287" s="236">
        <f t="shared" ca="1" si="89"/>
        <v>0</v>
      </c>
      <c r="AT287" s="241">
        <f t="shared" ca="1" si="90"/>
        <v>28</v>
      </c>
      <c r="AV287" s="222">
        <f t="shared" ca="1" si="91"/>
        <v>0</v>
      </c>
      <c r="AW287" s="247">
        <f t="shared" si="92"/>
        <v>92</v>
      </c>
      <c r="AY287" s="239">
        <f ca="1">(AE287=5)*('  B  '!F$110=1)*OR(AND(AND(A287&gt;=S$220,A287&gt;=I$214),AND(A287&lt;=S$221,A287&lt;=I$215)),AND(AND(A287&gt;=S$230,A287&gt;=I$224),AND(A287&lt;=S$231,A287&lt;=I$225)),AND(AND(A287&gt;=S$240,A287&gt;=I$234),AND(A287&lt;=S$241,A287&lt;=I$235)))</f>
        <v>0</v>
      </c>
      <c r="BA287" s="222">
        <f t="shared" ca="1" si="93"/>
        <v>0</v>
      </c>
      <c r="BB287" s="55">
        <f t="shared" ca="1" si="94"/>
        <v>0</v>
      </c>
      <c r="BC287" s="247">
        <f t="shared" si="95"/>
        <v>182</v>
      </c>
      <c r="BE287" s="239">
        <f t="shared" ca="1" si="96"/>
        <v>0</v>
      </c>
      <c r="BG287" s="239">
        <f t="shared" ca="1" si="97"/>
        <v>0</v>
      </c>
      <c r="BI287" s="222"/>
      <c r="BJ287" s="137">
        <v>0</v>
      </c>
      <c r="BK287" s="137">
        <v>0</v>
      </c>
      <c r="BL287" s="137">
        <f t="shared" ca="1" si="98"/>
        <v>1</v>
      </c>
      <c r="BM287" s="137">
        <f t="shared" ca="1" si="99"/>
        <v>1</v>
      </c>
      <c r="BN287" s="137">
        <f ca="1">(A287&gt;=N_LFP_Startdatum)*IF('  B  '!F$110=1,NOT(OR(A287&gt;S$221,A287&gt;S$231,A287&gt;S$241)),IF(BB287&gt;BC287,0,1))</f>
        <v>1</v>
      </c>
      <c r="BO287" s="137">
        <f t="shared" ca="1" si="100"/>
        <v>1</v>
      </c>
      <c r="BP287" s="137">
        <v>0</v>
      </c>
      <c r="BQ287" s="137">
        <f t="shared" ca="1" si="101"/>
        <v>1</v>
      </c>
      <c r="BR287" s="653">
        <v>0</v>
      </c>
      <c r="BS287" s="224">
        <f ca="1">(A287&gt;=N_LFP_Startdatum)*IF('  B  '!F$110=1,NOT(OR(A287&gt;S$221,A287&gt;S$231,A287&gt;S$241)),IF(BB287&gt;BC287,0,1))</f>
        <v>1</v>
      </c>
      <c r="BU287" s="562">
        <f t="shared" ca="1" si="102"/>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103"/>
        <v>0</v>
      </c>
      <c r="CA287" s="156">
        <f t="shared" ca="1" si="104"/>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5"/>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6"/>
        <v>0</v>
      </c>
      <c r="CL287" s="270">
        <f t="shared" ca="1" si="107"/>
        <v>0</v>
      </c>
      <c r="CM287" s="265">
        <f t="shared" ca="1" si="108"/>
        <v>0</v>
      </c>
      <c r="CO287" s="222"/>
      <c r="CP287" s="137">
        <v>0</v>
      </c>
      <c r="CQ287" s="137">
        <v>0</v>
      </c>
      <c r="CR287" s="137">
        <v>0</v>
      </c>
      <c r="CS287" s="137">
        <f t="shared" ca="1" si="109"/>
        <v>0</v>
      </c>
      <c r="CT287" s="137">
        <f t="shared" ca="1" si="110"/>
        <v>0</v>
      </c>
      <c r="CU287" s="137">
        <f t="shared" ca="1" si="111"/>
        <v>0</v>
      </c>
      <c r="CV287" s="137">
        <v>0</v>
      </c>
      <c r="CW287" s="137">
        <f t="shared" ca="1" si="112"/>
        <v>0</v>
      </c>
      <c r="CX287" s="137">
        <v>0</v>
      </c>
      <c r="CY287" s="224">
        <f t="shared" ca="1" si="113"/>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23"/>
        <v>0</v>
      </c>
      <c r="DF287" s="279">
        <f t="shared" ca="1" si="124"/>
        <v>0</v>
      </c>
      <c r="DG287" s="280">
        <f t="shared" ca="1" si="125"/>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26"/>
        <v>0</v>
      </c>
      <c r="DN287" s="279">
        <f t="shared" ca="1" si="127"/>
        <v>0</v>
      </c>
      <c r="DO287" s="279">
        <f t="shared" ca="1" si="128"/>
        <v>0</v>
      </c>
    </row>
    <row r="288" spans="1:119" x14ac:dyDescent="0.25">
      <c r="A288" s="153">
        <f t="shared" si="116"/>
        <v>45347</v>
      </c>
      <c r="B288" s="154"/>
      <c r="C288" s="154"/>
      <c r="D288" s="154"/>
      <c r="E288" s="875" t="str">
        <f t="shared" ca="1" si="61"/>
        <v/>
      </c>
      <c r="F288" s="876"/>
      <c r="G288" s="667">
        <f t="shared" ca="1" si="117"/>
        <v>0</v>
      </c>
      <c r="H288" s="667">
        <f t="shared" ca="1" si="62"/>
        <v>0</v>
      </c>
      <c r="I288" s="667">
        <f t="shared" ca="1" si="63"/>
        <v>0</v>
      </c>
      <c r="J288"/>
      <c r="K288"/>
      <c r="P288" s="151">
        <f t="shared" si="64"/>
        <v>125</v>
      </c>
      <c r="R288" s="55">
        <f t="shared" si="65"/>
        <v>0</v>
      </c>
      <c r="S288" s="55">
        <f t="shared" si="66"/>
        <v>1</v>
      </c>
      <c r="U288" s="226">
        <f t="shared" si="118"/>
        <v>0</v>
      </c>
      <c r="V288" s="137">
        <f t="shared" ca="1" si="119"/>
        <v>0</v>
      </c>
      <c r="W288" s="137">
        <f t="shared" si="120"/>
        <v>0</v>
      </c>
      <c r="X288" s="137">
        <f t="shared" si="121"/>
        <v>0</v>
      </c>
      <c r="Y288" s="137">
        <f t="shared" ca="1" si="71"/>
        <v>0</v>
      </c>
      <c r="Z288" s="137">
        <f t="shared" ca="1" si="72"/>
        <v>0</v>
      </c>
      <c r="AA288" s="137">
        <f t="shared" ca="1" si="73"/>
        <v>0</v>
      </c>
      <c r="AB288" s="137">
        <f t="shared" ca="1" si="74"/>
        <v>0</v>
      </c>
      <c r="AC288" s="137">
        <f t="shared" ca="1" si="75"/>
        <v>0</v>
      </c>
      <c r="AD288" s="137">
        <f t="shared" ca="1" si="76"/>
        <v>0</v>
      </c>
      <c r="AE288" s="223">
        <f t="shared" ca="1" si="122"/>
        <v>0</v>
      </c>
      <c r="AF288" s="229" t="str">
        <f t="shared" ca="1" si="78"/>
        <v/>
      </c>
      <c r="AH288" s="235">
        <f t="shared" si="79"/>
        <v>45347</v>
      </c>
      <c r="AI288" s="137">
        <f t="shared" ca="1" si="80"/>
        <v>0</v>
      </c>
      <c r="AJ288" s="137">
        <f t="shared" si="81"/>
        <v>0</v>
      </c>
      <c r="AK288" s="137">
        <f t="shared" ca="1" si="82"/>
        <v>0</v>
      </c>
      <c r="AL288" s="137">
        <f t="shared" ca="1" si="83"/>
        <v>0</v>
      </c>
      <c r="AM288" s="137">
        <f t="shared" si="84"/>
        <v>0</v>
      </c>
      <c r="AN288" s="137">
        <f t="shared" ca="1" si="85"/>
        <v>0</v>
      </c>
      <c r="AO288" s="137">
        <f t="shared" ca="1" si="86"/>
        <v>0</v>
      </c>
      <c r="AP288" s="137">
        <f t="shared" ca="1" si="87"/>
        <v>0</v>
      </c>
      <c r="AQ288" s="137">
        <f t="shared" si="88"/>
        <v>0</v>
      </c>
      <c r="AR288" s="236">
        <f t="shared" ca="1" si="89"/>
        <v>0</v>
      </c>
      <c r="AT288" s="241">
        <f t="shared" ca="1" si="90"/>
        <v>28</v>
      </c>
      <c r="AV288" s="222">
        <f t="shared" ca="1" si="91"/>
        <v>0</v>
      </c>
      <c r="AW288" s="247">
        <f t="shared" si="92"/>
        <v>92</v>
      </c>
      <c r="AY288" s="239">
        <f ca="1">(AE288=5)*('  B  '!F$110=1)*OR(AND(AND(A288&gt;=S$220,A288&gt;=I$214),AND(A288&lt;=S$221,A288&lt;=I$215)),AND(AND(A288&gt;=S$230,A288&gt;=I$224),AND(A288&lt;=S$231,A288&lt;=I$225)),AND(AND(A288&gt;=S$240,A288&gt;=I$234),AND(A288&lt;=S$241,A288&lt;=I$235)))</f>
        <v>0</v>
      </c>
      <c r="BA288" s="222">
        <f t="shared" ca="1" si="93"/>
        <v>0</v>
      </c>
      <c r="BB288" s="55">
        <f t="shared" ca="1" si="94"/>
        <v>0</v>
      </c>
      <c r="BC288" s="247">
        <f t="shared" si="95"/>
        <v>182</v>
      </c>
      <c r="BE288" s="239">
        <f t="shared" ca="1" si="96"/>
        <v>0</v>
      </c>
      <c r="BG288" s="239">
        <f t="shared" ca="1" si="97"/>
        <v>0</v>
      </c>
      <c r="BI288" s="222"/>
      <c r="BJ288" s="137">
        <v>0</v>
      </c>
      <c r="BK288" s="137">
        <v>0</v>
      </c>
      <c r="BL288" s="137">
        <f t="shared" ca="1" si="98"/>
        <v>1</v>
      </c>
      <c r="BM288" s="137">
        <f t="shared" ca="1" si="99"/>
        <v>1</v>
      </c>
      <c r="BN288" s="137">
        <f ca="1">(A288&gt;=N_LFP_Startdatum)*IF('  B  '!F$110=1,NOT(OR(A288&gt;S$221,A288&gt;S$231,A288&gt;S$241)),IF(BB288&gt;BC288,0,1))</f>
        <v>1</v>
      </c>
      <c r="BO288" s="137">
        <f t="shared" ca="1" si="100"/>
        <v>1</v>
      </c>
      <c r="BP288" s="137">
        <v>0</v>
      </c>
      <c r="BQ288" s="137">
        <f t="shared" ca="1" si="101"/>
        <v>1</v>
      </c>
      <c r="BR288" s="653">
        <v>0</v>
      </c>
      <c r="BS288" s="224">
        <f ca="1">(A288&gt;=N_LFP_Startdatum)*IF('  B  '!F$110=1,NOT(OR(A288&gt;S$221,A288&gt;S$231,A288&gt;S$241)),IF(BB288&gt;BC288,0,1))</f>
        <v>1</v>
      </c>
      <c r="BU288" s="562">
        <f t="shared" ca="1" si="102"/>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103"/>
        <v>0</v>
      </c>
      <c r="CA288" s="156">
        <f t="shared" ca="1" si="104"/>
        <v>0</v>
      </c>
      <c r="CB288" s="156"/>
      <c r="CC288" s="156">
        <f ca="1">(AE288=5)*('  B  '!F$113-(AY288*'  B  '!F$114))*G288*CF$260</f>
        <v>0</v>
      </c>
      <c r="CD288" s="156">
        <f ca="1">((BE288&gt;0)*'  B  '!F$105-(BE288&gt;N_Wartefrist_Unfall)*'  B  '!F$106)*(G288*CF$260)</f>
        <v>0</v>
      </c>
      <c r="CE288" s="156" t="s">
        <v>526</v>
      </c>
      <c r="CF288" s="156">
        <f t="shared" ca="1" si="105"/>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6"/>
        <v>0</v>
      </c>
      <c r="CL288" s="270">
        <f t="shared" ca="1" si="107"/>
        <v>0</v>
      </c>
      <c r="CM288" s="265">
        <f t="shared" ca="1" si="108"/>
        <v>0</v>
      </c>
      <c r="CO288" s="222"/>
      <c r="CP288" s="137">
        <v>0</v>
      </c>
      <c r="CQ288" s="137">
        <v>0</v>
      </c>
      <c r="CR288" s="137">
        <v>0</v>
      </c>
      <c r="CS288" s="137">
        <f t="shared" ca="1" si="109"/>
        <v>0</v>
      </c>
      <c r="CT288" s="137">
        <f t="shared" ca="1" si="110"/>
        <v>0</v>
      </c>
      <c r="CU288" s="137">
        <f t="shared" ca="1" si="111"/>
        <v>0</v>
      </c>
      <c r="CV288" s="137">
        <v>0</v>
      </c>
      <c r="CW288" s="137">
        <f t="shared" ca="1" si="112"/>
        <v>0</v>
      </c>
      <c r="CX288" s="137">
        <v>0</v>
      </c>
      <c r="CY288" s="224">
        <f t="shared" ca="1" si="113"/>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23"/>
        <v>0</v>
      </c>
      <c r="DF288" s="279">
        <f t="shared" ca="1" si="124"/>
        <v>0</v>
      </c>
      <c r="DG288" s="280">
        <f t="shared" ca="1" si="125"/>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26"/>
        <v>0</v>
      </c>
      <c r="DN288" s="279">
        <f t="shared" ca="1" si="127"/>
        <v>0</v>
      </c>
      <c r="DO288" s="279">
        <f t="shared" ca="1" si="128"/>
        <v>0</v>
      </c>
    </row>
    <row r="289" spans="1:119" x14ac:dyDescent="0.25">
      <c r="A289" s="153">
        <f t="shared" si="116"/>
        <v>45348</v>
      </c>
      <c r="B289" s="154"/>
      <c r="C289" s="154"/>
      <c r="D289" s="154"/>
      <c r="E289" s="875" t="str">
        <f t="shared" ca="1" si="61"/>
        <v/>
      </c>
      <c r="F289" s="876"/>
      <c r="G289" s="667">
        <f t="shared" ca="1" si="117"/>
        <v>0</v>
      </c>
      <c r="H289" s="667">
        <f t="shared" ca="1" si="62"/>
        <v>0</v>
      </c>
      <c r="I289" s="667">
        <f t="shared" ca="1" si="63"/>
        <v>0</v>
      </c>
      <c r="J289"/>
      <c r="K289"/>
      <c r="P289" s="151">
        <f t="shared" si="64"/>
        <v>125</v>
      </c>
      <c r="R289" s="55">
        <f t="shared" si="65"/>
        <v>0</v>
      </c>
      <c r="S289" s="55">
        <f t="shared" si="66"/>
        <v>1</v>
      </c>
      <c r="U289" s="226">
        <f t="shared" si="118"/>
        <v>0</v>
      </c>
      <c r="V289" s="137">
        <f t="shared" ca="1" si="119"/>
        <v>0</v>
      </c>
      <c r="W289" s="137">
        <f t="shared" si="120"/>
        <v>0</v>
      </c>
      <c r="X289" s="137">
        <f t="shared" si="121"/>
        <v>0</v>
      </c>
      <c r="Y289" s="137">
        <f t="shared" ca="1" si="71"/>
        <v>0</v>
      </c>
      <c r="Z289" s="137">
        <f t="shared" ca="1" si="72"/>
        <v>0</v>
      </c>
      <c r="AA289" s="137">
        <f t="shared" ca="1" si="73"/>
        <v>0</v>
      </c>
      <c r="AB289" s="137">
        <f t="shared" ca="1" si="74"/>
        <v>0</v>
      </c>
      <c r="AC289" s="137">
        <f t="shared" ca="1" si="75"/>
        <v>0</v>
      </c>
      <c r="AD289" s="137">
        <f t="shared" ca="1" si="76"/>
        <v>0</v>
      </c>
      <c r="AE289" s="223">
        <f t="shared" ca="1" si="122"/>
        <v>0</v>
      </c>
      <c r="AF289" s="229" t="str">
        <f t="shared" ca="1" si="78"/>
        <v/>
      </c>
      <c r="AH289" s="235">
        <f t="shared" si="79"/>
        <v>45348</v>
      </c>
      <c r="AI289" s="137">
        <f t="shared" ca="1" si="80"/>
        <v>0</v>
      </c>
      <c r="AJ289" s="137">
        <f t="shared" si="81"/>
        <v>0</v>
      </c>
      <c r="AK289" s="137">
        <f t="shared" ca="1" si="82"/>
        <v>0</v>
      </c>
      <c r="AL289" s="137">
        <f t="shared" ca="1" si="83"/>
        <v>0</v>
      </c>
      <c r="AM289" s="137">
        <f t="shared" si="84"/>
        <v>0</v>
      </c>
      <c r="AN289" s="137">
        <f t="shared" ca="1" si="85"/>
        <v>0</v>
      </c>
      <c r="AO289" s="137">
        <f t="shared" ca="1" si="86"/>
        <v>0</v>
      </c>
      <c r="AP289" s="137">
        <f t="shared" ca="1" si="87"/>
        <v>0</v>
      </c>
      <c r="AQ289" s="137">
        <f t="shared" si="88"/>
        <v>0</v>
      </c>
      <c r="AR289" s="236">
        <f t="shared" ca="1" si="89"/>
        <v>0</v>
      </c>
      <c r="AT289" s="241">
        <f t="shared" ca="1" si="90"/>
        <v>28</v>
      </c>
      <c r="AV289" s="222">
        <f t="shared" ca="1" si="91"/>
        <v>0</v>
      </c>
      <c r="AW289" s="247">
        <f t="shared" si="92"/>
        <v>92</v>
      </c>
      <c r="AY289" s="239">
        <f ca="1">(AE289=5)*('  B  '!F$110=1)*OR(AND(AND(A289&gt;=S$220,A289&gt;=I$214),AND(A289&lt;=S$221,A289&lt;=I$215)),AND(AND(A289&gt;=S$230,A289&gt;=I$224),AND(A289&lt;=S$231,A289&lt;=I$225)),AND(AND(A289&gt;=S$240,A289&gt;=I$234),AND(A289&lt;=S$241,A289&lt;=I$235)))</f>
        <v>0</v>
      </c>
      <c r="BA289" s="222">
        <f t="shared" ca="1" si="93"/>
        <v>0</v>
      </c>
      <c r="BB289" s="55">
        <f t="shared" ca="1" si="94"/>
        <v>0</v>
      </c>
      <c r="BC289" s="247">
        <f t="shared" si="95"/>
        <v>182</v>
      </c>
      <c r="BE289" s="239">
        <f t="shared" ca="1" si="96"/>
        <v>0</v>
      </c>
      <c r="BG289" s="239">
        <f t="shared" ca="1" si="97"/>
        <v>0</v>
      </c>
      <c r="BI289" s="222"/>
      <c r="BJ289" s="137">
        <v>0</v>
      </c>
      <c r="BK289" s="137">
        <v>0</v>
      </c>
      <c r="BL289" s="137">
        <f t="shared" ca="1" si="98"/>
        <v>1</v>
      </c>
      <c r="BM289" s="137">
        <f t="shared" ca="1" si="99"/>
        <v>1</v>
      </c>
      <c r="BN289" s="137">
        <f ca="1">(A289&gt;=N_LFP_Startdatum)*IF('  B  '!F$110=1,NOT(OR(A289&gt;S$221,A289&gt;S$231,A289&gt;S$241)),IF(BB289&gt;BC289,0,1))</f>
        <v>1</v>
      </c>
      <c r="BO289" s="137">
        <f t="shared" ca="1" si="100"/>
        <v>1</v>
      </c>
      <c r="BP289" s="137">
        <v>0</v>
      </c>
      <c r="BQ289" s="137">
        <f t="shared" ca="1" si="101"/>
        <v>1</v>
      </c>
      <c r="BR289" s="653">
        <v>0</v>
      </c>
      <c r="BS289" s="224">
        <f ca="1">(A289&gt;=N_LFP_Startdatum)*IF('  B  '!F$110=1,NOT(OR(A289&gt;S$221,A289&gt;S$231,A289&gt;S$241)),IF(BB289&gt;BC289,0,1))</f>
        <v>1</v>
      </c>
      <c r="BU289" s="562">
        <f t="shared" ca="1" si="102"/>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103"/>
        <v>0</v>
      </c>
      <c r="CA289" s="156">
        <f t="shared" ca="1" si="104"/>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5"/>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6"/>
        <v>0</v>
      </c>
      <c r="CL289" s="270">
        <f t="shared" ca="1" si="107"/>
        <v>0</v>
      </c>
      <c r="CM289" s="265">
        <f t="shared" ca="1" si="108"/>
        <v>0</v>
      </c>
      <c r="CO289" s="222"/>
      <c r="CP289" s="137">
        <v>0</v>
      </c>
      <c r="CQ289" s="137">
        <v>0</v>
      </c>
      <c r="CR289" s="137">
        <v>0</v>
      </c>
      <c r="CS289" s="137">
        <f t="shared" ca="1" si="109"/>
        <v>0</v>
      </c>
      <c r="CT289" s="137">
        <f t="shared" ca="1" si="110"/>
        <v>0</v>
      </c>
      <c r="CU289" s="137">
        <f t="shared" ca="1" si="111"/>
        <v>0</v>
      </c>
      <c r="CV289" s="137">
        <v>0</v>
      </c>
      <c r="CW289" s="137">
        <f t="shared" ca="1" si="112"/>
        <v>0</v>
      </c>
      <c r="CX289" s="137">
        <v>0</v>
      </c>
      <c r="CY289" s="224">
        <f t="shared" ca="1" si="113"/>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23"/>
        <v>0</v>
      </c>
      <c r="DF289" s="279">
        <f t="shared" ca="1" si="124"/>
        <v>0</v>
      </c>
      <c r="DG289" s="280">
        <f t="shared" ca="1" si="125"/>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26"/>
        <v>0</v>
      </c>
      <c r="DN289" s="279">
        <f t="shared" ca="1" si="127"/>
        <v>0</v>
      </c>
      <c r="DO289" s="279">
        <f t="shared" ca="1" si="128"/>
        <v>0</v>
      </c>
    </row>
    <row r="290" spans="1:119" x14ac:dyDescent="0.25">
      <c r="A290" s="153">
        <f t="shared" si="116"/>
        <v>45349</v>
      </c>
      <c r="B290" s="154"/>
      <c r="C290" s="154"/>
      <c r="D290" s="154"/>
      <c r="E290" s="875" t="str">
        <f t="shared" ca="1" si="61"/>
        <v/>
      </c>
      <c r="F290" s="876"/>
      <c r="G290" s="667">
        <f t="shared" ca="1" si="117"/>
        <v>0</v>
      </c>
      <c r="H290" s="667">
        <f t="shared" ca="1" si="62"/>
        <v>0</v>
      </c>
      <c r="I290" s="667">
        <f t="shared" ca="1" si="63"/>
        <v>0</v>
      </c>
      <c r="J290"/>
      <c r="K290"/>
      <c r="P290" s="151">
        <f t="shared" si="64"/>
        <v>125</v>
      </c>
      <c r="R290" s="55">
        <f t="shared" si="65"/>
        <v>0</v>
      </c>
      <c r="S290" s="55">
        <f t="shared" si="66"/>
        <v>1</v>
      </c>
      <c r="U290" s="226">
        <f t="shared" si="118"/>
        <v>0</v>
      </c>
      <c r="V290" s="137">
        <f t="shared" ca="1" si="119"/>
        <v>0</v>
      </c>
      <c r="W290" s="137">
        <f t="shared" si="120"/>
        <v>0</v>
      </c>
      <c r="X290" s="137">
        <f t="shared" si="121"/>
        <v>0</v>
      </c>
      <c r="Y290" s="137">
        <f t="shared" ca="1" si="71"/>
        <v>0</v>
      </c>
      <c r="Z290" s="137">
        <f t="shared" ca="1" si="72"/>
        <v>0</v>
      </c>
      <c r="AA290" s="137">
        <f t="shared" ca="1" si="73"/>
        <v>0</v>
      </c>
      <c r="AB290" s="137">
        <f t="shared" ca="1" si="74"/>
        <v>0</v>
      </c>
      <c r="AC290" s="137">
        <f t="shared" ca="1" si="75"/>
        <v>0</v>
      </c>
      <c r="AD290" s="137">
        <f t="shared" ca="1" si="76"/>
        <v>0</v>
      </c>
      <c r="AE290" s="223">
        <f t="shared" ca="1" si="122"/>
        <v>0</v>
      </c>
      <c r="AF290" s="229" t="str">
        <f t="shared" ca="1" si="78"/>
        <v/>
      </c>
      <c r="AH290" s="235">
        <f t="shared" si="79"/>
        <v>45349</v>
      </c>
      <c r="AI290" s="137">
        <f t="shared" ca="1" si="80"/>
        <v>0</v>
      </c>
      <c r="AJ290" s="137">
        <f t="shared" si="81"/>
        <v>0</v>
      </c>
      <c r="AK290" s="137">
        <f t="shared" ca="1" si="82"/>
        <v>0</v>
      </c>
      <c r="AL290" s="137">
        <f t="shared" ca="1" si="83"/>
        <v>0</v>
      </c>
      <c r="AM290" s="137">
        <f t="shared" si="84"/>
        <v>0</v>
      </c>
      <c r="AN290" s="137">
        <f t="shared" ca="1" si="85"/>
        <v>0</v>
      </c>
      <c r="AO290" s="137">
        <f t="shared" ca="1" si="86"/>
        <v>0</v>
      </c>
      <c r="AP290" s="137">
        <f t="shared" ca="1" si="87"/>
        <v>0</v>
      </c>
      <c r="AQ290" s="137">
        <f t="shared" si="88"/>
        <v>0</v>
      </c>
      <c r="AR290" s="236">
        <f t="shared" ca="1" si="89"/>
        <v>0</v>
      </c>
      <c r="AT290" s="241">
        <f t="shared" ca="1" si="90"/>
        <v>28</v>
      </c>
      <c r="AV290" s="222">
        <f t="shared" ca="1" si="91"/>
        <v>0</v>
      </c>
      <c r="AW290" s="247">
        <f t="shared" si="92"/>
        <v>92</v>
      </c>
      <c r="AY290" s="239">
        <f ca="1">(AE290=5)*('  B  '!F$110=1)*OR(AND(AND(A290&gt;=S$220,A290&gt;=I$214),AND(A290&lt;=S$221,A290&lt;=I$215)),AND(AND(A290&gt;=S$230,A290&gt;=I$224),AND(A290&lt;=S$231,A290&lt;=I$225)),AND(AND(A290&gt;=S$240,A290&gt;=I$234),AND(A290&lt;=S$241,A290&lt;=I$235)))</f>
        <v>0</v>
      </c>
      <c r="BA290" s="222">
        <f t="shared" ca="1" si="93"/>
        <v>0</v>
      </c>
      <c r="BB290" s="55">
        <f t="shared" ca="1" si="94"/>
        <v>0</v>
      </c>
      <c r="BC290" s="247">
        <f t="shared" si="95"/>
        <v>182</v>
      </c>
      <c r="BE290" s="239">
        <f t="shared" ca="1" si="96"/>
        <v>0</v>
      </c>
      <c r="BG290" s="239">
        <f t="shared" ca="1" si="97"/>
        <v>0</v>
      </c>
      <c r="BI290" s="222"/>
      <c r="BJ290" s="137">
        <v>0</v>
      </c>
      <c r="BK290" s="137">
        <v>0</v>
      </c>
      <c r="BL290" s="137">
        <f t="shared" ca="1" si="98"/>
        <v>1</v>
      </c>
      <c r="BM290" s="137">
        <f t="shared" ca="1" si="99"/>
        <v>1</v>
      </c>
      <c r="BN290" s="137">
        <f ca="1">(A290&gt;=N_LFP_Startdatum)*IF('  B  '!F$110=1,NOT(OR(A290&gt;S$221,A290&gt;S$231,A290&gt;S$241)),IF(BB290&gt;BC290,0,1))</f>
        <v>1</v>
      </c>
      <c r="BO290" s="137">
        <f t="shared" ca="1" si="100"/>
        <v>1</v>
      </c>
      <c r="BP290" s="137">
        <v>0</v>
      </c>
      <c r="BQ290" s="137">
        <f t="shared" ca="1" si="101"/>
        <v>1</v>
      </c>
      <c r="BR290" s="653">
        <v>0</v>
      </c>
      <c r="BS290" s="224">
        <f ca="1">(A290&gt;=N_LFP_Startdatum)*IF('  B  '!F$110=1,NOT(OR(A290&gt;S$221,A290&gt;S$231,A290&gt;S$241)),IF(BB290&gt;BC290,0,1))</f>
        <v>1</v>
      </c>
      <c r="BU290" s="562">
        <f t="shared" ca="1" si="102"/>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103"/>
        <v>0</v>
      </c>
      <c r="CA290" s="156">
        <f t="shared" ca="1" si="104"/>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5"/>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6"/>
        <v>0</v>
      </c>
      <c r="CL290" s="270">
        <f t="shared" ca="1" si="107"/>
        <v>0</v>
      </c>
      <c r="CM290" s="265">
        <f t="shared" ca="1" si="108"/>
        <v>0</v>
      </c>
      <c r="CO290" s="222"/>
      <c r="CP290" s="137">
        <v>0</v>
      </c>
      <c r="CQ290" s="137">
        <v>0</v>
      </c>
      <c r="CR290" s="137">
        <v>0</v>
      </c>
      <c r="CS290" s="137">
        <f t="shared" ca="1" si="109"/>
        <v>0</v>
      </c>
      <c r="CT290" s="137">
        <f t="shared" ca="1" si="110"/>
        <v>0</v>
      </c>
      <c r="CU290" s="137">
        <f t="shared" ca="1" si="111"/>
        <v>0</v>
      </c>
      <c r="CV290" s="137">
        <v>0</v>
      </c>
      <c r="CW290" s="137">
        <f t="shared" ca="1" si="112"/>
        <v>0</v>
      </c>
      <c r="CX290" s="137">
        <v>0</v>
      </c>
      <c r="CY290" s="224">
        <f t="shared" ca="1" si="113"/>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23"/>
        <v>0</v>
      </c>
      <c r="DF290" s="279">
        <f t="shared" ca="1" si="124"/>
        <v>0</v>
      </c>
      <c r="DG290" s="280">
        <f t="shared" ca="1" si="125"/>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26"/>
        <v>0</v>
      </c>
      <c r="DN290" s="279">
        <f t="shared" ca="1" si="127"/>
        <v>0</v>
      </c>
      <c r="DO290" s="279">
        <f t="shared" ca="1" si="128"/>
        <v>0</v>
      </c>
    </row>
    <row r="291" spans="1:119" x14ac:dyDescent="0.25">
      <c r="A291" s="153">
        <f t="shared" si="116"/>
        <v>45350</v>
      </c>
      <c r="B291" s="154"/>
      <c r="C291" s="154"/>
      <c r="D291" s="154"/>
      <c r="E291" s="875" t="str">
        <f t="shared" ca="1" si="61"/>
        <v/>
      </c>
      <c r="F291" s="876"/>
      <c r="G291" s="667">
        <f t="shared" ca="1" si="117"/>
        <v>0</v>
      </c>
      <c r="H291" s="667">
        <f t="shared" ca="1" si="62"/>
        <v>0</v>
      </c>
      <c r="I291" s="667">
        <f t="shared" ca="1" si="63"/>
        <v>0</v>
      </c>
      <c r="J291"/>
      <c r="K291"/>
      <c r="P291" s="151">
        <f t="shared" si="64"/>
        <v>125</v>
      </c>
      <c r="R291" s="55">
        <f t="shared" si="65"/>
        <v>0</v>
      </c>
      <c r="S291" s="55">
        <f t="shared" si="66"/>
        <v>1</v>
      </c>
      <c r="U291" s="226">
        <f t="shared" si="118"/>
        <v>0</v>
      </c>
      <c r="V291" s="137">
        <f t="shared" ca="1" si="119"/>
        <v>0</v>
      </c>
      <c r="W291" s="137">
        <f t="shared" si="120"/>
        <v>0</v>
      </c>
      <c r="X291" s="137">
        <f t="shared" si="121"/>
        <v>0</v>
      </c>
      <c r="Y291" s="137">
        <f t="shared" ca="1" si="71"/>
        <v>0</v>
      </c>
      <c r="Z291" s="137">
        <f t="shared" ca="1" si="72"/>
        <v>0</v>
      </c>
      <c r="AA291" s="137">
        <f t="shared" ca="1" si="73"/>
        <v>0</v>
      </c>
      <c r="AB291" s="137">
        <f t="shared" ca="1" si="74"/>
        <v>0</v>
      </c>
      <c r="AC291" s="137">
        <f t="shared" ca="1" si="75"/>
        <v>0</v>
      </c>
      <c r="AD291" s="137">
        <f t="shared" ca="1" si="76"/>
        <v>0</v>
      </c>
      <c r="AE291" s="223">
        <f t="shared" ca="1" si="122"/>
        <v>0</v>
      </c>
      <c r="AF291" s="229" t="str">
        <f t="shared" ca="1" si="78"/>
        <v/>
      </c>
      <c r="AH291" s="235">
        <f t="shared" si="79"/>
        <v>45350</v>
      </c>
      <c r="AI291" s="137">
        <f t="shared" ca="1" si="80"/>
        <v>0</v>
      </c>
      <c r="AJ291" s="137">
        <f t="shared" si="81"/>
        <v>0</v>
      </c>
      <c r="AK291" s="137">
        <f t="shared" ca="1" si="82"/>
        <v>0</v>
      </c>
      <c r="AL291" s="137">
        <f t="shared" ca="1" si="83"/>
        <v>0</v>
      </c>
      <c r="AM291" s="137">
        <f t="shared" si="84"/>
        <v>0</v>
      </c>
      <c r="AN291" s="137">
        <f t="shared" ca="1" si="85"/>
        <v>0</v>
      </c>
      <c r="AO291" s="137">
        <f t="shared" ca="1" si="86"/>
        <v>0</v>
      </c>
      <c r="AP291" s="137">
        <f t="shared" ca="1" si="87"/>
        <v>0</v>
      </c>
      <c r="AQ291" s="137">
        <f t="shared" si="88"/>
        <v>0</v>
      </c>
      <c r="AR291" s="236">
        <f t="shared" ca="1" si="89"/>
        <v>0</v>
      </c>
      <c r="AT291" s="241">
        <f t="shared" ca="1" si="90"/>
        <v>28</v>
      </c>
      <c r="AV291" s="222">
        <f t="shared" ca="1" si="91"/>
        <v>0</v>
      </c>
      <c r="AW291" s="247">
        <f t="shared" si="92"/>
        <v>92</v>
      </c>
      <c r="AY291" s="239">
        <f ca="1">(AE291=5)*('  B  '!F$110=1)*OR(AND(AND(A291&gt;=S$220,A291&gt;=I$214),AND(A291&lt;=S$221,A291&lt;=I$215)),AND(AND(A291&gt;=S$230,A291&gt;=I$224),AND(A291&lt;=S$231,A291&lt;=I$225)),AND(AND(A291&gt;=S$240,A291&gt;=I$234),AND(A291&lt;=S$241,A291&lt;=I$235)))</f>
        <v>0</v>
      </c>
      <c r="BA291" s="222">
        <f t="shared" ca="1" si="93"/>
        <v>0</v>
      </c>
      <c r="BB291" s="55">
        <f t="shared" ca="1" si="94"/>
        <v>0</v>
      </c>
      <c r="BC291" s="247">
        <f t="shared" si="95"/>
        <v>182</v>
      </c>
      <c r="BE291" s="239">
        <f t="shared" ca="1" si="96"/>
        <v>0</v>
      </c>
      <c r="BG291" s="239">
        <f t="shared" ca="1" si="97"/>
        <v>0</v>
      </c>
      <c r="BI291" s="222"/>
      <c r="BJ291" s="137">
        <v>0</v>
      </c>
      <c r="BK291" s="137">
        <v>0</v>
      </c>
      <c r="BL291" s="137">
        <f t="shared" ca="1" si="98"/>
        <v>1</v>
      </c>
      <c r="BM291" s="137">
        <f t="shared" ca="1" si="99"/>
        <v>1</v>
      </c>
      <c r="BN291" s="137">
        <f ca="1">(A291&gt;=N_LFP_Startdatum)*IF('  B  '!F$110=1,NOT(OR(A291&gt;S$221,A291&gt;S$231,A291&gt;S$241)),IF(BB291&gt;BC291,0,1))</f>
        <v>1</v>
      </c>
      <c r="BO291" s="137">
        <f t="shared" ca="1" si="100"/>
        <v>1</v>
      </c>
      <c r="BP291" s="137">
        <v>0</v>
      </c>
      <c r="BQ291" s="137">
        <f t="shared" ca="1" si="101"/>
        <v>1</v>
      </c>
      <c r="BR291" s="653">
        <v>0</v>
      </c>
      <c r="BS291" s="224">
        <f ca="1">(A291&gt;=N_LFP_Startdatum)*IF('  B  '!F$110=1,NOT(OR(A291&gt;S$221,A291&gt;S$231,A291&gt;S$241)),IF(BB291&gt;BC291,0,1))</f>
        <v>1</v>
      </c>
      <c r="BU291" s="562">
        <f t="shared" ca="1" si="102"/>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103"/>
        <v>0</v>
      </c>
      <c r="CA291" s="156">
        <f t="shared" ca="1" si="104"/>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5"/>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6"/>
        <v>0</v>
      </c>
      <c r="CL291" s="270">
        <f t="shared" ca="1" si="107"/>
        <v>0</v>
      </c>
      <c r="CM291" s="265">
        <f t="shared" ca="1" si="108"/>
        <v>0</v>
      </c>
      <c r="CO291" s="222"/>
      <c r="CP291" s="137">
        <v>0</v>
      </c>
      <c r="CQ291" s="137">
        <v>0</v>
      </c>
      <c r="CR291" s="137">
        <v>0</v>
      </c>
      <c r="CS291" s="137">
        <f t="shared" ca="1" si="109"/>
        <v>0</v>
      </c>
      <c r="CT291" s="137">
        <f t="shared" ca="1" si="110"/>
        <v>0</v>
      </c>
      <c r="CU291" s="137">
        <f t="shared" ca="1" si="111"/>
        <v>0</v>
      </c>
      <c r="CV291" s="137">
        <v>0</v>
      </c>
      <c r="CW291" s="137">
        <f t="shared" ca="1" si="112"/>
        <v>0</v>
      </c>
      <c r="CX291" s="137">
        <v>0</v>
      </c>
      <c r="CY291" s="224">
        <f t="shared" ca="1" si="113"/>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23"/>
        <v>0</v>
      </c>
      <c r="DF291" s="279">
        <f t="shared" ca="1" si="124"/>
        <v>0</v>
      </c>
      <c r="DG291" s="280">
        <f t="shared" ca="1" si="125"/>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26"/>
        <v>0</v>
      </c>
      <c r="DN291" s="279">
        <f t="shared" ca="1" si="127"/>
        <v>0</v>
      </c>
      <c r="DO291" s="279">
        <f t="shared" ca="1" si="128"/>
        <v>0</v>
      </c>
    </row>
    <row r="292" spans="1:119" x14ac:dyDescent="0.25">
      <c r="A292" s="153">
        <f t="shared" si="116"/>
        <v>45351</v>
      </c>
      <c r="B292" s="154"/>
      <c r="C292" s="154"/>
      <c r="D292" s="154"/>
      <c r="E292" s="875" t="str">
        <f t="shared" ca="1" si="61"/>
        <v/>
      </c>
      <c r="F292" s="876"/>
      <c r="G292" s="667">
        <f t="shared" ca="1" si="117"/>
        <v>0</v>
      </c>
      <c r="H292" s="667">
        <f t="shared" ca="1" si="62"/>
        <v>0</v>
      </c>
      <c r="I292" s="667">
        <f t="shared" ca="1" si="63"/>
        <v>0</v>
      </c>
      <c r="J292"/>
      <c r="K292"/>
      <c r="P292" s="151">
        <f t="shared" si="64"/>
        <v>125</v>
      </c>
      <c r="R292" s="55">
        <f t="shared" si="65"/>
        <v>0</v>
      </c>
      <c r="S292" s="55">
        <f t="shared" si="66"/>
        <v>1</v>
      </c>
      <c r="U292" s="226">
        <f t="shared" si="118"/>
        <v>0</v>
      </c>
      <c r="V292" s="137">
        <f t="shared" ca="1" si="119"/>
        <v>0</v>
      </c>
      <c r="W292" s="137">
        <f t="shared" si="120"/>
        <v>0</v>
      </c>
      <c r="X292" s="137">
        <f t="shared" si="121"/>
        <v>0</v>
      </c>
      <c r="Y292" s="137">
        <f t="shared" ca="1" si="71"/>
        <v>0</v>
      </c>
      <c r="Z292" s="137">
        <f t="shared" ca="1" si="72"/>
        <v>0</v>
      </c>
      <c r="AA292" s="137">
        <f t="shared" ca="1" si="73"/>
        <v>0</v>
      </c>
      <c r="AB292" s="137">
        <f t="shared" ca="1" si="74"/>
        <v>0</v>
      </c>
      <c r="AC292" s="137">
        <f t="shared" ca="1" si="75"/>
        <v>0</v>
      </c>
      <c r="AD292" s="137">
        <f t="shared" ca="1" si="76"/>
        <v>0</v>
      </c>
      <c r="AE292" s="223">
        <f t="shared" ca="1" si="122"/>
        <v>0</v>
      </c>
      <c r="AF292" s="229" t="str">
        <f t="shared" ca="1" si="78"/>
        <v/>
      </c>
      <c r="AH292" s="235">
        <f t="shared" si="79"/>
        <v>45351</v>
      </c>
      <c r="AI292" s="137">
        <f t="shared" ca="1" si="80"/>
        <v>0</v>
      </c>
      <c r="AJ292" s="137">
        <f t="shared" si="81"/>
        <v>0</v>
      </c>
      <c r="AK292" s="137">
        <f t="shared" ca="1" si="82"/>
        <v>0</v>
      </c>
      <c r="AL292" s="137">
        <f t="shared" ca="1" si="83"/>
        <v>0</v>
      </c>
      <c r="AM292" s="137">
        <f t="shared" si="84"/>
        <v>0</v>
      </c>
      <c r="AN292" s="137">
        <f t="shared" ca="1" si="85"/>
        <v>0</v>
      </c>
      <c r="AO292" s="137">
        <f t="shared" ca="1" si="86"/>
        <v>0</v>
      </c>
      <c r="AP292" s="137">
        <f t="shared" ca="1" si="87"/>
        <v>0</v>
      </c>
      <c r="AQ292" s="137">
        <f t="shared" si="88"/>
        <v>0</v>
      </c>
      <c r="AR292" s="236">
        <f t="shared" ca="1" si="89"/>
        <v>0</v>
      </c>
      <c r="AT292" s="241">
        <f t="shared" ca="1" si="90"/>
        <v>28</v>
      </c>
      <c r="AV292" s="222">
        <f t="shared" ca="1" si="91"/>
        <v>0</v>
      </c>
      <c r="AW292" s="247">
        <f t="shared" si="92"/>
        <v>92</v>
      </c>
      <c r="AY292" s="239">
        <f ca="1">(AE292=5)*('  B  '!F$110=1)*OR(AND(AND(A292&gt;=S$220,A292&gt;=I$214),AND(A292&lt;=S$221,A292&lt;=I$215)),AND(AND(A292&gt;=S$230,A292&gt;=I$224),AND(A292&lt;=S$231,A292&lt;=I$225)),AND(AND(A292&gt;=S$240,A292&gt;=I$234),AND(A292&lt;=S$241,A292&lt;=I$235)))</f>
        <v>0</v>
      </c>
      <c r="BA292" s="222">
        <f t="shared" ca="1" si="93"/>
        <v>0</v>
      </c>
      <c r="BB292" s="55">
        <f t="shared" ca="1" si="94"/>
        <v>0</v>
      </c>
      <c r="BC292" s="247">
        <f t="shared" si="95"/>
        <v>182</v>
      </c>
      <c r="BE292" s="239">
        <f t="shared" ca="1" si="96"/>
        <v>0</v>
      </c>
      <c r="BG292" s="239">
        <f t="shared" ca="1" si="97"/>
        <v>0</v>
      </c>
      <c r="BI292" s="222"/>
      <c r="BJ292" s="137">
        <v>0</v>
      </c>
      <c r="BK292" s="137">
        <v>0</v>
      </c>
      <c r="BL292" s="137">
        <f t="shared" ca="1" si="98"/>
        <v>1</v>
      </c>
      <c r="BM292" s="137">
        <f t="shared" ca="1" si="99"/>
        <v>1</v>
      </c>
      <c r="BN292" s="137">
        <f ca="1">(A292&gt;=N_LFP_Startdatum)*IF('  B  '!F$110=1,NOT(OR(A292&gt;S$221,A292&gt;S$231,A292&gt;S$241)),IF(BB292&gt;BC292,0,1))</f>
        <v>1</v>
      </c>
      <c r="BO292" s="137">
        <f t="shared" ca="1" si="100"/>
        <v>1</v>
      </c>
      <c r="BP292" s="137">
        <v>0</v>
      </c>
      <c r="BQ292" s="137">
        <f t="shared" ca="1" si="101"/>
        <v>1</v>
      </c>
      <c r="BR292" s="653">
        <v>0</v>
      </c>
      <c r="BS292" s="224">
        <f ca="1">(A292&gt;=N_LFP_Startdatum)*IF('  B  '!F$110=1,NOT(OR(A292&gt;S$221,A292&gt;S$231,A292&gt;S$241)),IF(BB292&gt;BC292,0,1))</f>
        <v>1</v>
      </c>
      <c r="BU292" s="562">
        <f t="shared" ca="1" si="102"/>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103"/>
        <v>0</v>
      </c>
      <c r="CA292" s="156">
        <f t="shared" ca="1" si="104"/>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5"/>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6"/>
        <v>0</v>
      </c>
      <c r="CL292" s="270">
        <f t="shared" ca="1" si="107"/>
        <v>0</v>
      </c>
      <c r="CM292" s="265">
        <f t="shared" ca="1" si="108"/>
        <v>0</v>
      </c>
      <c r="CO292" s="222"/>
      <c r="CP292" s="137">
        <v>0</v>
      </c>
      <c r="CQ292" s="137">
        <v>0</v>
      </c>
      <c r="CR292" s="137">
        <v>0</v>
      </c>
      <c r="CS292" s="137">
        <f t="shared" ca="1" si="109"/>
        <v>0</v>
      </c>
      <c r="CT292" s="137">
        <f t="shared" ca="1" si="110"/>
        <v>0</v>
      </c>
      <c r="CU292" s="137">
        <f t="shared" ca="1" si="111"/>
        <v>0</v>
      </c>
      <c r="CV292" s="137">
        <v>0</v>
      </c>
      <c r="CW292" s="137">
        <f t="shared" ca="1" si="112"/>
        <v>0</v>
      </c>
      <c r="CX292" s="137">
        <v>0</v>
      </c>
      <c r="CY292" s="224">
        <f t="shared" ca="1" si="113"/>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23"/>
        <v>0</v>
      </c>
      <c r="DF292" s="279">
        <f t="shared" ca="1" si="124"/>
        <v>0</v>
      </c>
      <c r="DG292" s="280">
        <f t="shared" ca="1" si="125"/>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26"/>
        <v>0</v>
      </c>
      <c r="DN292" s="279">
        <f t="shared" ca="1" si="127"/>
        <v>0</v>
      </c>
      <c r="DO292" s="279">
        <f t="shared" ca="1" si="128"/>
        <v>0</v>
      </c>
    </row>
    <row r="293" spans="1:119" x14ac:dyDescent="0.25">
      <c r="A293" s="153">
        <f t="shared" si="116"/>
        <v>45352</v>
      </c>
      <c r="B293" s="154"/>
      <c r="C293" s="154"/>
      <c r="D293" s="154"/>
      <c r="E293" s="875" t="str">
        <f t="shared" ca="1" si="61"/>
        <v/>
      </c>
      <c r="F293" s="876"/>
      <c r="G293" s="667">
        <f t="shared" ca="1" si="117"/>
        <v>0</v>
      </c>
      <c r="H293" s="667">
        <f t="shared" ca="1" si="62"/>
        <v>0</v>
      </c>
      <c r="I293" s="667">
        <f t="shared" ca="1" si="63"/>
        <v>0</v>
      </c>
      <c r="J293"/>
      <c r="K293"/>
      <c r="P293" s="151">
        <f t="shared" si="64"/>
        <v>125</v>
      </c>
      <c r="R293" s="55">
        <f t="shared" si="65"/>
        <v>1</v>
      </c>
      <c r="S293" s="55">
        <f t="shared" si="66"/>
        <v>0</v>
      </c>
      <c r="U293" s="226">
        <f t="shared" si="118"/>
        <v>0</v>
      </c>
      <c r="V293" s="137">
        <f t="shared" ca="1" si="119"/>
        <v>0</v>
      </c>
      <c r="W293" s="137">
        <f t="shared" si="120"/>
        <v>0</v>
      </c>
      <c r="X293" s="137">
        <f t="shared" si="121"/>
        <v>0</v>
      </c>
      <c r="Y293" s="137">
        <f t="shared" ca="1" si="71"/>
        <v>0</v>
      </c>
      <c r="Z293" s="137">
        <f t="shared" ca="1" si="72"/>
        <v>0</v>
      </c>
      <c r="AA293" s="137">
        <f t="shared" ca="1" si="73"/>
        <v>0</v>
      </c>
      <c r="AB293" s="137">
        <f t="shared" ca="1" si="74"/>
        <v>0</v>
      </c>
      <c r="AC293" s="137">
        <f t="shared" ca="1" si="75"/>
        <v>0</v>
      </c>
      <c r="AD293" s="137">
        <f t="shared" ca="1" si="76"/>
        <v>0</v>
      </c>
      <c r="AE293" s="223">
        <f t="shared" ca="1" si="122"/>
        <v>0</v>
      </c>
      <c r="AF293" s="229" t="str">
        <f t="shared" ca="1" si="78"/>
        <v/>
      </c>
      <c r="AH293" s="235">
        <f t="shared" si="79"/>
        <v>45352</v>
      </c>
      <c r="AI293" s="137">
        <f t="shared" ca="1" si="80"/>
        <v>0</v>
      </c>
      <c r="AJ293" s="137">
        <f t="shared" si="81"/>
        <v>0</v>
      </c>
      <c r="AK293" s="137">
        <f t="shared" ca="1" si="82"/>
        <v>0</v>
      </c>
      <c r="AL293" s="137">
        <f t="shared" ca="1" si="83"/>
        <v>0</v>
      </c>
      <c r="AM293" s="137">
        <f t="shared" si="84"/>
        <v>0</v>
      </c>
      <c r="AN293" s="137">
        <f t="shared" ca="1" si="85"/>
        <v>0</v>
      </c>
      <c r="AO293" s="137">
        <f t="shared" ca="1" si="86"/>
        <v>0</v>
      </c>
      <c r="AP293" s="137">
        <f t="shared" ca="1" si="87"/>
        <v>0</v>
      </c>
      <c r="AQ293" s="137">
        <f t="shared" si="88"/>
        <v>0</v>
      </c>
      <c r="AR293" s="236">
        <f t="shared" ca="1" si="89"/>
        <v>0</v>
      </c>
      <c r="AT293" s="241">
        <f t="shared" ca="1" si="90"/>
        <v>28</v>
      </c>
      <c r="AV293" s="222">
        <f t="shared" ca="1" si="91"/>
        <v>0</v>
      </c>
      <c r="AW293" s="247">
        <f t="shared" si="92"/>
        <v>91</v>
      </c>
      <c r="AY293" s="239">
        <f ca="1">(AE293=5)*('  B  '!F$110=1)*OR(AND(AND(A293&gt;=S$220,A293&gt;=I$214),AND(A293&lt;=S$221,A293&lt;=I$215)),AND(AND(A293&gt;=S$230,A293&gt;=I$224),AND(A293&lt;=S$231,A293&lt;=I$225)),AND(AND(A293&gt;=S$240,A293&gt;=I$234),AND(A293&lt;=S$241,A293&lt;=I$235)))</f>
        <v>0</v>
      </c>
      <c r="BA293" s="222">
        <f t="shared" ca="1" si="93"/>
        <v>0</v>
      </c>
      <c r="BB293" s="55">
        <f t="shared" ca="1" si="94"/>
        <v>0</v>
      </c>
      <c r="BC293" s="247">
        <f t="shared" si="95"/>
        <v>184</v>
      </c>
      <c r="BE293" s="239">
        <f t="shared" ca="1" si="96"/>
        <v>0</v>
      </c>
      <c r="BG293" s="239">
        <f t="shared" ca="1" si="97"/>
        <v>0</v>
      </c>
      <c r="BI293" s="222"/>
      <c r="BJ293" s="137">
        <v>0</v>
      </c>
      <c r="BK293" s="137">
        <v>0</v>
      </c>
      <c r="BL293" s="137">
        <f t="shared" ca="1" si="98"/>
        <v>1</v>
      </c>
      <c r="BM293" s="137">
        <f t="shared" ca="1" si="99"/>
        <v>1</v>
      </c>
      <c r="BN293" s="137">
        <f ca="1">(A293&gt;=N_LFP_Startdatum)*IF('  B  '!F$110=1,NOT(OR(A293&gt;S$221,A293&gt;S$231,A293&gt;S$241)),IF(BB293&gt;BC293,0,1))</f>
        <v>1</v>
      </c>
      <c r="BO293" s="137">
        <f t="shared" ca="1" si="100"/>
        <v>1</v>
      </c>
      <c r="BP293" s="137">
        <v>0</v>
      </c>
      <c r="BQ293" s="137">
        <f t="shared" ca="1" si="101"/>
        <v>1</v>
      </c>
      <c r="BR293" s="653">
        <v>0</v>
      </c>
      <c r="BS293" s="224">
        <f ca="1">(A293&gt;=N_LFP_Startdatum)*IF('  B  '!F$110=1,NOT(OR(A293&gt;S$221,A293&gt;S$231,A293&gt;S$241)),IF(BB293&gt;BC293,0,1))</f>
        <v>1</v>
      </c>
      <c r="BU293" s="562">
        <f t="shared" ca="1" si="102"/>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103"/>
        <v>0</v>
      </c>
      <c r="CA293" s="156">
        <f t="shared" ca="1" si="104"/>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5"/>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6"/>
        <v>0</v>
      </c>
      <c r="CL293" s="270">
        <f t="shared" ca="1" si="107"/>
        <v>0</v>
      </c>
      <c r="CM293" s="265">
        <f t="shared" ca="1" si="108"/>
        <v>0</v>
      </c>
      <c r="CO293" s="222"/>
      <c r="CP293" s="137">
        <v>0</v>
      </c>
      <c r="CQ293" s="137">
        <v>0</v>
      </c>
      <c r="CR293" s="137">
        <v>0</v>
      </c>
      <c r="CS293" s="137">
        <f t="shared" ca="1" si="109"/>
        <v>0</v>
      </c>
      <c r="CT293" s="137">
        <f t="shared" ca="1" si="110"/>
        <v>0</v>
      </c>
      <c r="CU293" s="137">
        <f t="shared" ca="1" si="111"/>
        <v>0</v>
      </c>
      <c r="CV293" s="137">
        <v>0</v>
      </c>
      <c r="CW293" s="137">
        <f t="shared" ca="1" si="112"/>
        <v>0</v>
      </c>
      <c r="CX293" s="137">
        <v>0</v>
      </c>
      <c r="CY293" s="224">
        <f t="shared" ca="1" si="113"/>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23"/>
        <v>0</v>
      </c>
      <c r="DF293" s="279">
        <f t="shared" ref="DF293" ca="1" si="129">AND(A293&gt;=I$224,A293&lt;=I$225)*SUM(DB293:DD293)</f>
        <v>0</v>
      </c>
      <c r="DG293" s="280">
        <f t="shared" ref="DG293:DG294" ca="1" si="130">AND(A293&gt;=I$234,A293&lt;=I$235)*SUM(DB293:DD293)</f>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26"/>
        <v>0</v>
      </c>
      <c r="DN293" s="279">
        <f t="shared" ca="1" si="127"/>
        <v>0</v>
      </c>
      <c r="DO293" s="279">
        <f t="shared" ca="1" si="128"/>
        <v>0</v>
      </c>
    </row>
    <row r="294" spans="1:119" x14ac:dyDescent="0.25">
      <c r="A294" s="153">
        <f t="shared" si="116"/>
        <v>45353</v>
      </c>
      <c r="B294" s="154"/>
      <c r="C294" s="154"/>
      <c r="D294" s="154"/>
      <c r="E294" s="875" t="str">
        <f t="shared" ca="1" si="61"/>
        <v/>
      </c>
      <c r="F294" s="876"/>
      <c r="G294" s="667">
        <f t="shared" ca="1" si="117"/>
        <v>0</v>
      </c>
      <c r="H294" s="667">
        <f t="shared" ca="1" si="62"/>
        <v>0</v>
      </c>
      <c r="I294" s="667">
        <f t="shared" ca="1" si="63"/>
        <v>0</v>
      </c>
      <c r="J294"/>
      <c r="K294"/>
      <c r="P294" s="151">
        <f t="shared" si="64"/>
        <v>125</v>
      </c>
      <c r="R294" s="55">
        <f t="shared" si="65"/>
        <v>1</v>
      </c>
      <c r="S294" s="55">
        <f t="shared" si="66"/>
        <v>0</v>
      </c>
      <c r="U294" s="227">
        <f t="shared" si="118"/>
        <v>0</v>
      </c>
      <c r="V294" s="225">
        <f t="shared" ca="1" si="119"/>
        <v>0</v>
      </c>
      <c r="W294" s="225">
        <f t="shared" si="120"/>
        <v>0</v>
      </c>
      <c r="X294" s="225">
        <f t="shared" si="121"/>
        <v>0</v>
      </c>
      <c r="Y294" s="225">
        <f t="shared" ca="1" si="71"/>
        <v>0</v>
      </c>
      <c r="Z294" s="225">
        <f t="shared" ca="1" si="72"/>
        <v>0</v>
      </c>
      <c r="AA294" s="225">
        <f t="shared" ca="1" si="73"/>
        <v>0</v>
      </c>
      <c r="AB294" s="225">
        <f t="shared" ca="1" si="74"/>
        <v>0</v>
      </c>
      <c r="AC294" s="225">
        <f t="shared" ca="1" si="75"/>
        <v>0</v>
      </c>
      <c r="AD294" s="225">
        <f t="shared" ca="1" si="76"/>
        <v>0</v>
      </c>
      <c r="AE294" s="228">
        <f t="shared" ca="1" si="122"/>
        <v>0</v>
      </c>
      <c r="AF294" s="229" t="str">
        <f t="shared" ca="1" si="78"/>
        <v/>
      </c>
      <c r="AH294" s="237">
        <f t="shared" si="79"/>
        <v>45353</v>
      </c>
      <c r="AI294" s="225">
        <f t="shared" ca="1" si="80"/>
        <v>0</v>
      </c>
      <c r="AJ294" s="225">
        <f t="shared" si="81"/>
        <v>0</v>
      </c>
      <c r="AK294" s="225">
        <f t="shared" ca="1" si="82"/>
        <v>0</v>
      </c>
      <c r="AL294" s="225">
        <f t="shared" ca="1" si="83"/>
        <v>0</v>
      </c>
      <c r="AM294" s="225">
        <f t="shared" si="84"/>
        <v>0</v>
      </c>
      <c r="AN294" s="137">
        <f t="shared" ca="1" si="85"/>
        <v>0</v>
      </c>
      <c r="AO294" s="225">
        <f t="shared" ca="1" si="86"/>
        <v>0</v>
      </c>
      <c r="AP294" s="225">
        <f t="shared" ca="1" si="87"/>
        <v>0</v>
      </c>
      <c r="AQ294" s="225">
        <f t="shared" si="88"/>
        <v>0</v>
      </c>
      <c r="AR294" s="238">
        <f t="shared" ca="1" si="89"/>
        <v>0</v>
      </c>
      <c r="AT294" s="242">
        <f t="shared" ca="1" si="90"/>
        <v>28</v>
      </c>
      <c r="AV294" s="215">
        <f t="shared" ca="1" si="91"/>
        <v>0</v>
      </c>
      <c r="AW294" s="248">
        <f t="shared" si="92"/>
        <v>91</v>
      </c>
      <c r="AY294" s="149">
        <f ca="1">(AE294=5)*('  B  '!F$110=1)*OR(AND(AND(A294&gt;=S$220,A294&gt;=I$214),AND(A294&lt;=S$221,A294&lt;=I$215)),AND(AND(A294&gt;=S$230,A294&gt;=I$224),AND(A294&lt;=S$231,A294&lt;=I$225)),AND(AND(A294&gt;=S$240,A294&gt;=I$234),AND(A294&lt;=S$241,A294&lt;=I$235)))</f>
        <v>0</v>
      </c>
      <c r="BA294" s="215">
        <f t="shared" ca="1" si="93"/>
        <v>0</v>
      </c>
      <c r="BB294" s="250">
        <f t="shared" ca="1" si="94"/>
        <v>0</v>
      </c>
      <c r="BC294" s="248">
        <f t="shared" si="95"/>
        <v>184</v>
      </c>
      <c r="BE294" s="149">
        <f t="shared" ca="1" si="96"/>
        <v>0</v>
      </c>
      <c r="BG294" s="149">
        <f t="shared" ca="1" si="97"/>
        <v>0</v>
      </c>
      <c r="BI294" s="215"/>
      <c r="BJ294" s="225">
        <v>0</v>
      </c>
      <c r="BK294" s="225">
        <v>0</v>
      </c>
      <c r="BL294" s="225">
        <f t="shared" ca="1" si="98"/>
        <v>1</v>
      </c>
      <c r="BM294" s="225">
        <f t="shared" ca="1" si="99"/>
        <v>1</v>
      </c>
      <c r="BN294" s="225">
        <f ca="1">(A294&gt;=N_LFP_Startdatum)*IF('  B  '!F$110=1,NOT(OR(A294&gt;S$221,A294&gt;S$231,A294&gt;S$241)),IF(BB294&gt;BC294,0,1))</f>
        <v>1</v>
      </c>
      <c r="BO294" s="225">
        <f t="shared" ca="1" si="100"/>
        <v>1</v>
      </c>
      <c r="BP294" s="225">
        <v>0</v>
      </c>
      <c r="BQ294" s="225">
        <f t="shared" ca="1" si="101"/>
        <v>1</v>
      </c>
      <c r="BR294" s="654">
        <v>0</v>
      </c>
      <c r="BS294" s="374">
        <f ca="1">(A294&gt;=N_LFP_Startdatum)*IF('  B  '!F$110=1,NOT(OR(A294&gt;S$221,A294&gt;S$231,A294&gt;S$241)),IF(BB294&gt;BC294,0,1))</f>
        <v>1</v>
      </c>
      <c r="BU294" s="563">
        <f t="shared" ca="1" si="102"/>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103"/>
        <v>0</v>
      </c>
      <c r="CA294" s="257">
        <f t="shared" ca="1" si="104"/>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5"/>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6"/>
        <v>0</v>
      </c>
      <c r="CL294" s="271">
        <f t="shared" ca="1" si="107"/>
        <v>0</v>
      </c>
      <c r="CM294" s="269">
        <f t="shared" ca="1" si="108"/>
        <v>0</v>
      </c>
      <c r="CO294" s="215"/>
      <c r="CP294" s="225">
        <v>0</v>
      </c>
      <c r="CQ294" s="225">
        <v>0</v>
      </c>
      <c r="CR294" s="225">
        <v>0</v>
      </c>
      <c r="CS294" s="225">
        <f t="shared" ca="1" si="109"/>
        <v>0</v>
      </c>
      <c r="CT294" s="225">
        <f t="shared" ca="1" si="110"/>
        <v>0</v>
      </c>
      <c r="CU294" s="225">
        <f t="shared" ca="1" si="111"/>
        <v>0</v>
      </c>
      <c r="CV294" s="225">
        <v>0</v>
      </c>
      <c r="CW294" s="225">
        <f t="shared" ca="1" si="112"/>
        <v>0</v>
      </c>
      <c r="CX294" s="225">
        <v>0</v>
      </c>
      <c r="CY294" s="374">
        <f t="shared" ca="1" si="113"/>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78">
        <f t="shared" ca="1" si="123"/>
        <v>0</v>
      </c>
      <c r="DF294" s="282">
        <f ca="1">AND(A294&gt;=I$224,A294&lt;=I$225)*SUM(DB294:DD294)</f>
        <v>0</v>
      </c>
      <c r="DG294" s="283">
        <f t="shared" ca="1" si="130"/>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26"/>
        <v>0</v>
      </c>
      <c r="DN294" s="279">
        <f t="shared" ca="1" si="127"/>
        <v>0</v>
      </c>
      <c r="DO294" s="279">
        <f t="shared" ca="1" si="128"/>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J295"/>
      <c r="K295"/>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31">SUM(CH264:CH294)</f>
        <v>0</v>
      </c>
      <c r="CI295" s="522">
        <f t="shared" ca="1" si="131"/>
        <v>0</v>
      </c>
      <c r="CJ295" s="522">
        <f t="shared" ca="1" si="131"/>
        <v>0</v>
      </c>
      <c r="CK295" s="522">
        <f t="shared" ca="1" si="131"/>
        <v>0</v>
      </c>
      <c r="CL295" s="522">
        <f t="shared" ca="1" si="131"/>
        <v>0</v>
      </c>
      <c r="CM295" s="522">
        <f t="shared" ca="1" si="131"/>
        <v>0</v>
      </c>
      <c r="DA295" s="522">
        <f ca="1">SUM(DA264:DA294)</f>
        <v>0</v>
      </c>
      <c r="DB295" s="156"/>
      <c r="DC295" s="156"/>
      <c r="DD295" s="156"/>
      <c r="DE295" s="523">
        <f ca="1">SUM(DE264:DE291)</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I296"/>
      <c r="J296"/>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I297"/>
      <c r="J297"/>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32">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32"/>
        <v>Stand am Monatsbeginn</v>
      </c>
      <c r="B299" s="883">
        <f t="shared" ref="B299:E307" ca="1" si="133">INDIRECT(ADDRESS(ROW()+N_Offset_M,COLUMN()+(N_SpracheAuswahl)*26,,,"Text"))</f>
        <v>0</v>
      </c>
      <c r="C299" s="883">
        <f t="shared" ca="1" si="133"/>
        <v>0</v>
      </c>
      <c r="D299" s="883">
        <f t="shared" ca="1" si="133"/>
        <v>0</v>
      </c>
      <c r="E299" s="884">
        <f t="shared" ca="1" si="133"/>
        <v>0</v>
      </c>
      <c r="F299" s="566">
        <f ca="1">' 01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32"/>
        <v>Sollarbeitsstunden in diesem Monat</v>
      </c>
      <c r="B300" s="885">
        <f t="shared" ca="1" si="133"/>
        <v>0</v>
      </c>
      <c r="C300" s="885">
        <f t="shared" ca="1" si="133"/>
        <v>0</v>
      </c>
      <c r="D300" s="885">
        <f t="shared" ca="1" si="133"/>
        <v>0</v>
      </c>
      <c r="E300" s="886">
        <f t="shared" ca="1" si="133"/>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32"/>
        <v>geleistete Arbeitsstunden</v>
      </c>
      <c r="B301" s="885">
        <f t="shared" ca="1" si="133"/>
        <v>0</v>
      </c>
      <c r="C301" s="885">
        <f t="shared" ca="1" si="133"/>
        <v>0</v>
      </c>
      <c r="D301" s="885">
        <f t="shared" ca="1" si="133"/>
        <v>0</v>
      </c>
      <c r="E301" s="886">
        <f t="shared" ca="1" si="133"/>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33"/>
        <v>0</v>
      </c>
      <c r="C302" s="885">
        <f t="shared" ca="1" si="133"/>
        <v>0</v>
      </c>
      <c r="D302" s="885">
        <f t="shared" ca="1" si="133"/>
        <v>0</v>
      </c>
      <c r="E302" s="886">
        <f t="shared" ca="1" si="133"/>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32"/>
        <v>Arbeitsausfall mit Lohnfortzahlung</v>
      </c>
      <c r="B303" s="885">
        <f t="shared" ca="1" si="133"/>
        <v>0</v>
      </c>
      <c r="C303" s="885">
        <f t="shared" ca="1" si="133"/>
        <v>0</v>
      </c>
      <c r="D303" s="885">
        <f t="shared" ca="1" si="133"/>
        <v>0</v>
      </c>
      <c r="E303" s="886">
        <f t="shared" ca="1" si="133"/>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32"/>
        <v>Arbeitsausfall ohne Lohnfortzahlung</v>
      </c>
      <c r="B304" s="885">
        <f t="shared" ca="1" si="133"/>
        <v>0</v>
      </c>
      <c r="C304" s="885">
        <f t="shared" ca="1" si="133"/>
        <v>0</v>
      </c>
      <c r="D304" s="885">
        <f t="shared" ca="1" si="133"/>
        <v>0</v>
      </c>
      <c r="E304" s="886">
        <f t="shared" ca="1" si="133"/>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32"/>
        <v>Vergütung von Überstunden</v>
      </c>
      <c r="B305" s="885">
        <f t="shared" ca="1" si="133"/>
        <v>0</v>
      </c>
      <c r="C305" s="885">
        <f t="shared" ca="1" si="133"/>
        <v>0</v>
      </c>
      <c r="D305" s="885">
        <f t="shared" ca="1" si="133"/>
        <v>0</v>
      </c>
      <c r="E305" s="886">
        <f t="shared" ca="1" si="133"/>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32"/>
        <v>Korrektur Saldo Arbeitsstunden ohne Auswirkungen auf Lohnabrechnung (Eingabe in Spalte F)</v>
      </c>
      <c r="B306" s="888">
        <f t="shared" ca="1" si="133"/>
        <v>0</v>
      </c>
      <c r="C306" s="888">
        <f t="shared" ca="1" si="133"/>
        <v>0</v>
      </c>
      <c r="D306" s="888">
        <f t="shared" ca="1" si="133"/>
        <v>0</v>
      </c>
      <c r="E306" s="889">
        <f t="shared" ca="1" si="133"/>
        <v>0</v>
      </c>
      <c r="F306" s="143"/>
      <c r="G306" s="879"/>
      <c r="H306" s="880"/>
      <c r="I306" s="880"/>
      <c r="AK306" s="137"/>
      <c r="AQ306" s="55"/>
      <c r="AR306" s="137"/>
      <c r="AT306" s="55"/>
    </row>
    <row r="307" spans="1:46" x14ac:dyDescent="0.25">
      <c r="A307" s="882" t="str">
        <f t="shared" ca="1" si="132"/>
        <v>Saldo Arbeitsstunden Monatsende</v>
      </c>
      <c r="B307" s="883">
        <f t="shared" ca="1" si="133"/>
        <v>0</v>
      </c>
      <c r="C307" s="883">
        <f t="shared" ca="1" si="133"/>
        <v>0</v>
      </c>
      <c r="D307" s="883">
        <f t="shared" ca="1" si="133"/>
        <v>0</v>
      </c>
      <c r="E307" s="884">
        <f t="shared" ca="1" si="133"/>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34">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45323</v>
      </c>
      <c r="I310" s="878"/>
      <c r="O310" s="408"/>
      <c r="AK310" s="408"/>
      <c r="AM310" s="408"/>
      <c r="AO310" s="408"/>
      <c r="AR310" s="408"/>
    </row>
    <row r="311" spans="1:46" ht="27" customHeight="1" x14ac:dyDescent="0.25">
      <c r="A311" s="891" t="str">
        <f t="shared" ca="1" si="134"/>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864" t="str">
        <f t="shared" ca="1" si="134"/>
        <v>Abzüge sind mit Minus-Zeichen einzugeben.</v>
      </c>
      <c r="B312" s="864"/>
      <c r="C312" s="864"/>
      <c r="D312" s="864"/>
      <c r="E312" s="864"/>
      <c r="F312" s="864"/>
      <c r="G312" s="864"/>
      <c r="H312" s="864"/>
      <c r="I312" s="864"/>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34"/>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34"/>
        <v>Beschreibung</v>
      </c>
      <c r="B314" s="893" t="str">
        <f t="shared" ref="B314:B329" si="135">IF(P314=0,"",IF(P314=1,AB314,Q314))</f>
        <v/>
      </c>
      <c r="C314" s="893" t="str">
        <f t="shared" ref="C314:C329" si="136">IF(Q314=0,"",IF(Q314=1,AC314,R314))</f>
        <v/>
      </c>
      <c r="D314" s="495" t="str">
        <f t="shared" ref="D314:I314" ca="1" si="137">IF($O314&gt;0,AD314,"")</f>
        <v>Auswahl Ja/Nein</v>
      </c>
      <c r="E314" s="460" t="str">
        <f t="shared" ca="1" si="137"/>
        <v>Einheit</v>
      </c>
      <c r="F314" s="461" t="str">
        <f t="shared" ca="1" si="137"/>
        <v>Wert</v>
      </c>
      <c r="G314" s="894" t="str">
        <f t="shared" ca="1" si="137"/>
        <v>Beschreibungstext zu Korrektur (max. 32 Zeichen)</v>
      </c>
      <c r="H314" s="895">
        <f t="shared" si="137"/>
        <v>0</v>
      </c>
      <c r="I314" s="895">
        <f t="shared" si="137"/>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34"/>
        <v>Monatslohn</v>
      </c>
      <c r="B315" s="862" t="str">
        <f t="shared" ca="1" si="135"/>
        <v>CHF</v>
      </c>
      <c r="C315" s="863">
        <f t="shared" si="136"/>
        <v>0</v>
      </c>
      <c r="D315" s="136" t="s">
        <v>875</v>
      </c>
      <c r="E315" s="373" t="str">
        <f t="shared" ref="E315:E329" ca="1" si="138">IF(VLOOKUP(D315,A_JaNein_Auswahl,2,0)=1,IF($O315&gt;0,Q315,""),"")</f>
        <v/>
      </c>
      <c r="F315" s="286"/>
      <c r="G315" s="871" t="s">
        <v>758</v>
      </c>
      <c r="H315" s="869"/>
      <c r="I315" s="870"/>
      <c r="N315" s="87"/>
      <c r="O315" s="288">
        <v>1</v>
      </c>
      <c r="P315" s="55">
        <f t="shared" ref="P315:P329" ca="1" si="139">VLOOKUP(D315,A_JaNein_Auswahl,2,0)</f>
        <v>2</v>
      </c>
      <c r="Q315" s="55" t="s">
        <v>1134</v>
      </c>
      <c r="AA315" s="294" t="str">
        <f ca="1">INDEX(L_Lohnart,N_LohnartAuswahl)</f>
        <v>Monatslohn</v>
      </c>
      <c r="AK315" s="137"/>
      <c r="AQ315" s="55"/>
      <c r="AR315" s="137"/>
      <c r="AT315" s="55"/>
    </row>
    <row r="316" spans="1:46" x14ac:dyDescent="0.25">
      <c r="A316" s="862" t="str">
        <f t="shared" si="134"/>
        <v/>
      </c>
      <c r="B316" s="862">
        <f t="shared" ca="1" si="135"/>
        <v>0</v>
      </c>
      <c r="C316" s="863">
        <f t="shared" ca="1" si="136"/>
        <v>0</v>
      </c>
      <c r="D316" s="136" t="s">
        <v>876</v>
      </c>
      <c r="E316" s="373" t="str">
        <f t="shared" ca="1" si="138"/>
        <v/>
      </c>
      <c r="F316" s="287"/>
      <c r="G316" s="871" t="s">
        <v>26</v>
      </c>
      <c r="H316" s="869"/>
      <c r="I316" s="870"/>
      <c r="O316" s="288">
        <f>1*('  B  '!C61&gt;0)</f>
        <v>0</v>
      </c>
      <c r="P316" s="55">
        <f t="shared" ca="1" si="139"/>
        <v>1</v>
      </c>
      <c r="Q316" s="55" t="str">
        <f ca="1">B_Anzahl</f>
        <v>Anzahl</v>
      </c>
      <c r="AA316" s="55" t="str">
        <f t="shared" ref="AA316:AA331" ca="1" si="140">INDIRECT(ADDRESS(ROW()+N_Offset_M,COLUMN(A316)+(N_SpracheAuswahl)*26,,,"Text"))</f>
        <v>Nachtpauschalen</v>
      </c>
    </row>
    <row r="317" spans="1:46" x14ac:dyDescent="0.25">
      <c r="A317" s="862" t="str">
        <f t="shared" ca="1" si="134"/>
        <v>Ferienentschädigung</v>
      </c>
      <c r="B317" s="862" t="str">
        <f t="shared" ca="1" si="135"/>
        <v>Stunden</v>
      </c>
      <c r="C317" s="863">
        <f t="shared" ca="1" si="136"/>
        <v>0</v>
      </c>
      <c r="D317" s="136" t="str">
        <f ca="1">Text!C$5</f>
        <v>Nein</v>
      </c>
      <c r="E317" s="373" t="str">
        <f t="shared" ca="1" si="138"/>
        <v/>
      </c>
      <c r="F317" s="286"/>
      <c r="G317" s="871"/>
      <c r="H317" s="869"/>
      <c r="I317" s="870"/>
      <c r="N317" s="63"/>
      <c r="O317" s="288">
        <f ca="1">1*OR(AND(N_LohnartAuswahl=1,N_Kündigung&gt;0),AND(N_LohnartAuswahl=2,N_Ferien_ArtAuszahlung_Auswahl=2))</f>
        <v>1</v>
      </c>
      <c r="P317" s="55">
        <f t="shared" ca="1" si="139"/>
        <v>2</v>
      </c>
      <c r="Q317" s="55" t="str">
        <f ca="1">B_Stunden</f>
        <v>Stunden</v>
      </c>
      <c r="AA317" s="55" t="str">
        <f t="shared" ca="1" si="140"/>
        <v>Ferienentschädigung</v>
      </c>
    </row>
    <row r="318" spans="1:46" ht="52.2" customHeight="1" x14ac:dyDescent="0.25">
      <c r="A318" s="862" t="str">
        <f t="shared" ca="1" si="134"/>
        <v>Ferienguthaben (ohne Auswirkung auf Lohnzahlung)</v>
      </c>
      <c r="B318" s="862" t="str">
        <f t="shared" ca="1" si="135"/>
        <v>Tage</v>
      </c>
      <c r="C318" s="863">
        <f t="shared" ca="1" si="136"/>
        <v>0</v>
      </c>
      <c r="D318" s="136" t="str">
        <f ca="1">Text!C$5</f>
        <v>Nein</v>
      </c>
      <c r="E318" s="373" t="str">
        <f t="shared" ca="1" si="138"/>
        <v/>
      </c>
      <c r="F318" s="286"/>
      <c r="G318" s="871"/>
      <c r="H318" s="867"/>
      <c r="I318" s="868"/>
      <c r="N318" s="575">
        <f>IF(O318=1,F318,0)</f>
        <v>0</v>
      </c>
      <c r="O318" s="288">
        <v>1</v>
      </c>
      <c r="P318" s="55">
        <f t="shared" ca="1" si="139"/>
        <v>2</v>
      </c>
      <c r="Q318" s="55" t="str">
        <f ca="1">B_Tage</f>
        <v>Tage</v>
      </c>
      <c r="AA318" s="55" t="str">
        <f t="shared" ca="1" si="140"/>
        <v>Ferienguthaben (ohne Auswirkung auf Lohnzahlung)</v>
      </c>
    </row>
    <row r="319" spans="1:46" x14ac:dyDescent="0.25">
      <c r="A319" s="862" t="str">
        <f t="shared" ref="A319:C320" ca="1" si="141">IF(O319=0,"",IF(O319=1,AA319,P319))</f>
        <v>AHV/IV/EO Prämien</v>
      </c>
      <c r="B319" s="862" t="str">
        <f t="shared" ca="1" si="141"/>
        <v>CHF</v>
      </c>
      <c r="C319" s="863">
        <f t="shared" si="141"/>
        <v>0</v>
      </c>
      <c r="D319" s="136" t="str">
        <f ca="1">Text!C$5</f>
        <v>Nein</v>
      </c>
      <c r="E319" s="373" t="str">
        <f ca="1">IF(VLOOKUP(D319,A_JaNein_Auswahl,2,0)=1,IF($O319&gt;0,Q319,""),"")</f>
        <v/>
      </c>
      <c r="F319" s="286"/>
      <c r="G319" s="871" t="s">
        <v>1350</v>
      </c>
      <c r="H319" s="867"/>
      <c r="I319" s="868"/>
      <c r="O319" s="288">
        <v>1</v>
      </c>
      <c r="P319" s="55">
        <f ca="1">VLOOKUP(D319,A_JaNein_Auswahl,2,0)</f>
        <v>2</v>
      </c>
      <c r="Q319" s="55" t="s">
        <v>1134</v>
      </c>
      <c r="AA319" s="55" t="str">
        <f ca="1">INDIRECT(ADDRESS(ROW()+N_Offset_M,COLUMN(A319)+(N_SpracheAuswahl)*26,,,"Text"))</f>
        <v>AHV/IV/EO Prämien</v>
      </c>
    </row>
    <row r="320" spans="1:46" ht="27" customHeight="1" x14ac:dyDescent="0.25">
      <c r="A320" s="862" t="str">
        <f t="shared" ca="1" si="141"/>
        <v>ALV Prämien</v>
      </c>
      <c r="B320" s="862" t="str">
        <f t="shared" ca="1" si="141"/>
        <v>CHF</v>
      </c>
      <c r="C320" s="863">
        <f t="shared" si="141"/>
        <v>0</v>
      </c>
      <c r="D320" s="136" t="str">
        <f ca="1">Text!C$5</f>
        <v>Nein</v>
      </c>
      <c r="E320" s="373" t="str">
        <f ca="1">IF(VLOOKUP(D320,A_JaNein_Auswahl,2,0)=1,IF($O320&gt;0,Q320,""),"")</f>
        <v/>
      </c>
      <c r="F320" s="286"/>
      <c r="G320" s="871" t="s">
        <v>944</v>
      </c>
      <c r="H320" s="867"/>
      <c r="I320" s="868"/>
      <c r="O320" s="288">
        <v>1</v>
      </c>
      <c r="P320" s="55">
        <f ca="1">VLOOKUP(D320,A_JaNein_Auswahl,2,0)</f>
        <v>2</v>
      </c>
      <c r="Q320" s="55" t="s">
        <v>1134</v>
      </c>
      <c r="AA320" s="55" t="str">
        <f ca="1">INDIRECT(ADDRESS(ROW()+N_Offset_M,COLUMN(A320)+(N_SpracheAuswahl)*26,,,"Text"))</f>
        <v>ALV Prämien</v>
      </c>
    </row>
    <row r="321" spans="1:27" x14ac:dyDescent="0.25">
      <c r="A321" s="862" t="str">
        <f t="shared" si="134"/>
        <v/>
      </c>
      <c r="B321" s="862" t="str">
        <f t="shared" ca="1" si="135"/>
        <v>CHF</v>
      </c>
      <c r="C321" s="863">
        <f t="shared" si="136"/>
        <v>0</v>
      </c>
      <c r="D321" s="136" t="str">
        <f ca="1">Text!C$5</f>
        <v>Nein</v>
      </c>
      <c r="E321" s="373" t="str">
        <f t="shared" ca="1" si="138"/>
        <v/>
      </c>
      <c r="F321" s="286"/>
      <c r="G321" s="871" t="s">
        <v>31</v>
      </c>
      <c r="H321" s="867"/>
      <c r="I321" s="868"/>
      <c r="O321" s="288">
        <f>1*(SUM('  B  '!C79:D79)&gt;0)</f>
        <v>0</v>
      </c>
      <c r="P321" s="55">
        <f t="shared" ca="1" si="139"/>
        <v>2</v>
      </c>
      <c r="Q321" s="55" t="s">
        <v>1134</v>
      </c>
      <c r="AA321" s="55" t="str">
        <f t="shared" ca="1" si="140"/>
        <v>NBU Prämien</v>
      </c>
    </row>
    <row r="322" spans="1:27" ht="27" customHeight="1" x14ac:dyDescent="0.25">
      <c r="A322" s="862" t="str">
        <f t="shared" si="134"/>
        <v/>
      </c>
      <c r="B322" s="862" t="str">
        <f t="shared" ca="1" si="135"/>
        <v>CHF</v>
      </c>
      <c r="C322" s="863">
        <f t="shared" si="136"/>
        <v>0</v>
      </c>
      <c r="D322" s="136" t="str">
        <f ca="1">Text!C$5</f>
        <v>Nein</v>
      </c>
      <c r="E322" s="373" t="str">
        <f t="shared" ca="1" si="138"/>
        <v/>
      </c>
      <c r="F322" s="286"/>
      <c r="G322" s="871" t="s">
        <v>1351</v>
      </c>
      <c r="H322" s="867"/>
      <c r="I322" s="868"/>
      <c r="O322" s="288">
        <f>1*(SUM('  B  '!C80:D80)&gt;0)</f>
        <v>0</v>
      </c>
      <c r="P322" s="55">
        <f t="shared" ca="1" si="139"/>
        <v>2</v>
      </c>
      <c r="Q322" s="55" t="s">
        <v>1134</v>
      </c>
      <c r="AA322" s="55" t="str">
        <f t="shared" ca="1" si="140"/>
        <v>Berufliche Vorsorge Prämie</v>
      </c>
    </row>
    <row r="323" spans="1:27" ht="27" customHeight="1" x14ac:dyDescent="0.25">
      <c r="A323" s="862" t="str">
        <f t="shared" ca="1" si="134"/>
        <v>Familienzulage Prämie</v>
      </c>
      <c r="B323" s="862" t="str">
        <f t="shared" ca="1" si="135"/>
        <v>CHF</v>
      </c>
      <c r="C323" s="863">
        <f t="shared" si="136"/>
        <v>0</v>
      </c>
      <c r="D323" s="136" t="str">
        <f ca="1">Text!C$5</f>
        <v>Nein</v>
      </c>
      <c r="E323" s="373" t="str">
        <f t="shared" ca="1" si="138"/>
        <v/>
      </c>
      <c r="F323" s="286"/>
      <c r="G323" s="871" t="s">
        <v>1355</v>
      </c>
      <c r="H323" s="867"/>
      <c r="I323" s="868"/>
      <c r="O323" s="288">
        <f>1*(SUM('  B  '!C81:D81)&gt;0)</f>
        <v>1</v>
      </c>
      <c r="P323" s="55">
        <f t="shared" ca="1" si="139"/>
        <v>2</v>
      </c>
      <c r="Q323" s="55" t="s">
        <v>1134</v>
      </c>
      <c r="AA323" s="55" t="str">
        <f t="shared" ca="1" si="140"/>
        <v>Familienzulage Prämie</v>
      </c>
    </row>
    <row r="324" spans="1:27" x14ac:dyDescent="0.25">
      <c r="A324" s="862" t="str">
        <f t="shared" si="134"/>
        <v/>
      </c>
      <c r="B324" s="862" t="str">
        <f t="shared" ca="1" si="135"/>
        <v>CHF</v>
      </c>
      <c r="C324" s="863">
        <f t="shared" si="136"/>
        <v>0</v>
      </c>
      <c r="D324" s="136" t="str">
        <f ca="1">Text!C$5</f>
        <v>Nein</v>
      </c>
      <c r="E324" s="373" t="str">
        <f t="shared" ca="1" si="138"/>
        <v/>
      </c>
      <c r="F324" s="286"/>
      <c r="G324" s="871" t="s">
        <v>33</v>
      </c>
      <c r="H324" s="867"/>
      <c r="I324" s="868"/>
      <c r="O324" s="288">
        <f>1*(SUM('  B  '!C82:D82)&gt;0)</f>
        <v>0</v>
      </c>
      <c r="P324" s="55">
        <f t="shared" ca="1" si="139"/>
        <v>2</v>
      </c>
      <c r="Q324" s="55" t="s">
        <v>1134</v>
      </c>
      <c r="AA324" s="55" t="str">
        <f t="shared" ca="1" si="140"/>
        <v>KTG Prämie</v>
      </c>
    </row>
    <row r="325" spans="1:27" ht="27" customHeight="1" x14ac:dyDescent="0.25">
      <c r="A325" s="862" t="str">
        <f ca="1">IF(O325=0,"",IF(O325=1,AA325,P325))</f>
        <v/>
      </c>
      <c r="B325" s="862" t="str">
        <f t="shared" ca="1" si="135"/>
        <v>CHF</v>
      </c>
      <c r="C325" s="863">
        <f t="shared" si="136"/>
        <v>0</v>
      </c>
      <c r="D325" s="136" t="str">
        <f ca="1">Text!C$5</f>
        <v>Nein</v>
      </c>
      <c r="E325" s="373" t="str">
        <f t="shared" ca="1" si="138"/>
        <v/>
      </c>
      <c r="F325" s="286"/>
      <c r="G325" s="871" t="s">
        <v>1352</v>
      </c>
      <c r="H325" s="869"/>
      <c r="I325" s="870"/>
      <c r="N325" s="63"/>
      <c r="O325" s="288">
        <f ca="1">1*(VLOOKUP('  B  '!C84,A_JaNein_Auswahl,2,0)=1)</f>
        <v>0</v>
      </c>
      <c r="P325" s="55">
        <f t="shared" ca="1" si="139"/>
        <v>2</v>
      </c>
      <c r="Q325" s="55" t="s">
        <v>1134</v>
      </c>
      <c r="AA325" s="55" t="str">
        <f t="shared" ca="1" si="140"/>
        <v>Kinder / Ausbildungszulage</v>
      </c>
    </row>
    <row r="326" spans="1:27" ht="39.9" customHeight="1" x14ac:dyDescent="0.25">
      <c r="A326" s="862" t="str">
        <f t="shared" ca="1" si="134"/>
        <v>Taggelder der Unfallversicherung</v>
      </c>
      <c r="B326" s="862" t="str">
        <f t="shared" ca="1" si="135"/>
        <v>CHF</v>
      </c>
      <c r="C326" s="863">
        <f t="shared" si="136"/>
        <v>0</v>
      </c>
      <c r="D326" s="136" t="str">
        <f ca="1">Text!C$5</f>
        <v>Nein</v>
      </c>
      <c r="E326" s="373" t="str">
        <f t="shared" ca="1" si="138"/>
        <v/>
      </c>
      <c r="F326" s="286"/>
      <c r="G326" s="871" t="s">
        <v>1354</v>
      </c>
      <c r="H326" s="869"/>
      <c r="I326" s="870"/>
      <c r="N326" s="63"/>
      <c r="O326" s="288">
        <v>1</v>
      </c>
      <c r="P326" s="55">
        <f t="shared" ca="1" si="139"/>
        <v>2</v>
      </c>
      <c r="Q326" s="55" t="s">
        <v>1134</v>
      </c>
      <c r="AA326" s="55" t="str">
        <f t="shared" ca="1" si="140"/>
        <v>Taggelder der Unfallversicherung</v>
      </c>
    </row>
    <row r="327" spans="1:27" ht="27" customHeight="1" x14ac:dyDescent="0.25">
      <c r="A327" s="862" t="str">
        <f t="shared" ca="1" si="134"/>
        <v/>
      </c>
      <c r="B327" s="862" t="str">
        <f t="shared" ca="1" si="135"/>
        <v>CHF</v>
      </c>
      <c r="C327" s="863">
        <f t="shared" si="136"/>
        <v>0</v>
      </c>
      <c r="D327" s="136" t="str">
        <f ca="1">Text!C$5</f>
        <v>Nein</v>
      </c>
      <c r="E327" s="373" t="str">
        <f t="shared" ca="1" si="138"/>
        <v/>
      </c>
      <c r="F327" s="286"/>
      <c r="G327" s="871" t="s">
        <v>1353</v>
      </c>
      <c r="H327" s="869"/>
      <c r="I327" s="870"/>
      <c r="N327" s="63"/>
      <c r="O327" s="288">
        <f ca="1">1*('  B  '!F110=1)</f>
        <v>0</v>
      </c>
      <c r="P327" s="55">
        <f t="shared" ca="1" si="139"/>
        <v>2</v>
      </c>
      <c r="Q327" s="55" t="s">
        <v>1134</v>
      </c>
      <c r="AA327" s="55" t="str">
        <f t="shared" ca="1" si="140"/>
        <v>Taggelder der Krankenversicherung</v>
      </c>
    </row>
    <row r="328" spans="1:27" x14ac:dyDescent="0.25">
      <c r="A328" s="862" t="str">
        <f t="shared" ca="1" si="134"/>
        <v/>
      </c>
      <c r="B328" s="862" t="str">
        <f t="shared" ca="1" si="135"/>
        <v>CHF</v>
      </c>
      <c r="C328" s="863">
        <f t="shared" si="136"/>
        <v>0</v>
      </c>
      <c r="D328" s="136" t="str">
        <f ca="1">Text!C$5</f>
        <v>Nein</v>
      </c>
      <c r="E328" s="373" t="str">
        <f t="shared" ca="1" si="138"/>
        <v/>
      </c>
      <c r="F328" s="286"/>
      <c r="G328" s="871"/>
      <c r="H328" s="869"/>
      <c r="I328" s="870"/>
      <c r="N328" s="63"/>
      <c r="O328" s="288">
        <f ca="1">1*(VLOOKUP('  B  '!C85,A_JaNein_Auswahl,2,0)=1)</f>
        <v>0</v>
      </c>
      <c r="P328" s="55">
        <f t="shared" ca="1" si="139"/>
        <v>2</v>
      </c>
      <c r="Q328" s="55" t="s">
        <v>1134</v>
      </c>
      <c r="AA328" s="55" t="str">
        <f t="shared" ca="1" si="140"/>
        <v>Quellensteuer</v>
      </c>
    </row>
    <row r="329" spans="1:27" x14ac:dyDescent="0.25">
      <c r="A329" s="862" t="str">
        <f t="shared" ca="1" si="134"/>
        <v>Spesen</v>
      </c>
      <c r="B329" s="862" t="str">
        <f t="shared" ca="1" si="135"/>
        <v>CHF</v>
      </c>
      <c r="C329" s="863">
        <f t="shared" si="136"/>
        <v>0</v>
      </c>
      <c r="D329" s="136" t="str">
        <f ca="1">Text!C$5</f>
        <v>Nein</v>
      </c>
      <c r="E329" s="373" t="str">
        <f t="shared" ca="1" si="138"/>
        <v/>
      </c>
      <c r="F329" s="286"/>
      <c r="G329" s="871" t="s">
        <v>29</v>
      </c>
      <c r="H329" s="869"/>
      <c r="I329" s="870"/>
      <c r="N329" s="63"/>
      <c r="O329" s="288">
        <v>1</v>
      </c>
      <c r="P329" s="55">
        <f t="shared" ca="1" si="139"/>
        <v>2</v>
      </c>
      <c r="Q329" s="55" t="s">
        <v>1134</v>
      </c>
      <c r="AA329" s="55" t="str">
        <f t="shared" ca="1" si="140"/>
        <v>Spesen</v>
      </c>
    </row>
    <row r="330" spans="1:27" x14ac:dyDescent="0.25">
      <c r="A330" s="492">
        <f t="shared" si="134"/>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t="shared" ca="1" si="140"/>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t="shared" ref="AA332:AA333" ca="1" si="142">INDIRECT(ADDRESS(ROW()+N_Offset_M,COLUMN(A332)+(N_SpracheAuswahl)*26,,,"Text"))</f>
        <v>https://www.ahv-iv.ch/p/6.02.d</v>
      </c>
    </row>
    <row r="333" spans="1:27" x14ac:dyDescent="0.25">
      <c r="A333" s="492" t="str">
        <f t="shared" ref="A333" ca="1" si="143">IF(O333=0,"",IF(O333=1,AA333,P333))</f>
        <v>Ende dieses Tabellenblattes</v>
      </c>
      <c r="H333" s="64"/>
      <c r="N333" s="63"/>
      <c r="O333" s="288">
        <v>1</v>
      </c>
      <c r="AA333" s="55" t="str">
        <f t="shared" ca="1" si="142"/>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45323</v>
      </c>
      <c r="H360" s="159"/>
      <c r="I360" s="197"/>
      <c r="J360" s="160">
        <f t="shared" ref="J360:J427" si="144">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44"/>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44"/>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44"/>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44"/>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44"/>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44"/>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44"/>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44"/>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44"/>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44"/>
        <v>12</v>
      </c>
      <c r="K370" s="55">
        <v>12</v>
      </c>
      <c r="M370" s="55" t="s">
        <v>54</v>
      </c>
      <c r="AA370" s="206" t="str">
        <f t="shared" ref="AA370:AA380" ca="1" si="145">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44"/>
        <v>13</v>
      </c>
      <c r="K371" s="55">
        <v>13</v>
      </c>
      <c r="M371" s="55" t="s">
        <v>54</v>
      </c>
      <c r="N371" s="55" t="b">
        <f>'  B  '!C61=0</f>
        <v>1</v>
      </c>
      <c r="AA371" s="206" t="str">
        <f t="shared" ca="1" si="145"/>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44"/>
        <v>14</v>
      </c>
      <c r="K372" s="55">
        <v>14</v>
      </c>
      <c r="L372" s="55" t="s">
        <v>36</v>
      </c>
      <c r="M372" s="55" t="s">
        <v>54</v>
      </c>
      <c r="AA372" s="206" t="str">
        <f t="shared" ca="1" si="145"/>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44"/>
        <v>14</v>
      </c>
      <c r="K373" s="55">
        <v>15</v>
      </c>
      <c r="AA373" s="206" t="str">
        <f t="shared" ca="1" si="145"/>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44"/>
        <v>14</v>
      </c>
      <c r="K374" s="55">
        <v>16</v>
      </c>
      <c r="N374" s="87"/>
      <c r="R374" s="163"/>
      <c r="AA374" s="206" t="str">
        <f t="shared" ca="1" si="145"/>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44"/>
        <v>14</v>
      </c>
      <c r="K375" s="55">
        <v>17</v>
      </c>
      <c r="AA375" s="206" t="str">
        <f t="shared" ca="1" si="145"/>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44"/>
        <v>14</v>
      </c>
      <c r="K376" s="55">
        <v>18</v>
      </c>
      <c r="R376" s="163"/>
      <c r="AA376" s="206" t="str">
        <f t="shared" ca="1" si="145"/>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44"/>
        <v>14</v>
      </c>
      <c r="K377" s="55">
        <v>19</v>
      </c>
      <c r="R377" s="163"/>
      <c r="AA377" s="206" t="str">
        <f t="shared" ca="1" si="145"/>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44"/>
        <v>14</v>
      </c>
      <c r="K378" s="55">
        <v>20</v>
      </c>
      <c r="R378" s="163"/>
      <c r="AA378" s="206" t="str">
        <f t="shared" ca="1" si="145"/>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44"/>
        <v>14</v>
      </c>
      <c r="K379" s="55">
        <v>21</v>
      </c>
      <c r="L379" s="55" t="s">
        <v>525</v>
      </c>
      <c r="M379" s="275" t="str">
        <f ca="1">IF(NOT(I378=0),"F","")</f>
        <v/>
      </c>
      <c r="R379" s="163"/>
      <c r="AA379" s="206">
        <f t="shared" ca="1" si="145"/>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44"/>
        <v>14</v>
      </c>
      <c r="K380" s="55">
        <v>22</v>
      </c>
      <c r="R380" s="163"/>
      <c r="AA380" s="206" t="str">
        <f t="shared" ca="1" si="145"/>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44"/>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44"/>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44"/>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44"/>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44"/>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44"/>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44"/>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44"/>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44"/>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44"/>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Nachtpauschale</v>
      </c>
      <c r="B391" s="159"/>
      <c r="C391" s="159"/>
      <c r="D391" s="159"/>
      <c r="F391" s="197"/>
      <c r="G391" s="159"/>
      <c r="H391" s="197"/>
      <c r="I391" s="161"/>
      <c r="J391" s="160">
        <f t="shared" ca="1" si="144"/>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44"/>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44"/>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44"/>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44"/>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44"/>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44"/>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44"/>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44"/>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44"/>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44"/>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44"/>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44"/>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44"/>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44"/>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46">AA406</f>
        <v>Sozialversicherungsabzüge</v>
      </c>
      <c r="B406" s="159"/>
      <c r="C406" s="159"/>
      <c r="D406" s="159"/>
      <c r="F406" s="159"/>
      <c r="G406" s="159"/>
      <c r="H406" s="197"/>
      <c r="I406" s="159"/>
      <c r="J406" s="160">
        <f t="shared" ca="1" si="144"/>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47">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46"/>
        <v>AHV/IV/EO</v>
      </c>
      <c r="B407" s="159"/>
      <c r="C407" s="159"/>
      <c r="D407" s="159"/>
      <c r="F407" s="159"/>
      <c r="G407" s="632">
        <f>'  B  '!D71</f>
        <v>5.2999999999999999E-2</v>
      </c>
      <c r="H407" s="205">
        <f ca="1">MAX(0,P404-P406*N_Pensioniert_Freibetrag)</f>
        <v>0</v>
      </c>
      <c r="I407" s="169">
        <f ca="1">-ROUND((G407*H407)*2,1)/2</f>
        <v>0</v>
      </c>
      <c r="J407" s="160">
        <f t="shared" ca="1" si="144"/>
        <v>18</v>
      </c>
      <c r="K407" s="55">
        <v>49</v>
      </c>
      <c r="P407" s="646">
        <f ca="1">-'  B  '!C71*MAX(0,P404-P406*N_Pensioniert_Freibetrag)</f>
        <v>0</v>
      </c>
      <c r="Q407" s="633" t="s">
        <v>1232</v>
      </c>
      <c r="R407" s="163"/>
      <c r="AA407" s="206" t="str">
        <f t="shared" ca="1" si="147"/>
        <v>AHV/IV/EO</v>
      </c>
      <c r="AB407" s="206"/>
      <c r="AC407" s="206"/>
      <c r="AD407" s="206"/>
      <c r="AE407" s="63"/>
      <c r="AF407" s="206"/>
      <c r="AG407" s="306"/>
      <c r="AH407" s="205"/>
      <c r="AI407" s="266"/>
    </row>
    <row r="408" spans="1:35" hidden="1" x14ac:dyDescent="0.25">
      <c r="A408" s="159" t="str">
        <f t="shared" ca="1" si="146"/>
        <v>Arbeitslosenversicherung (ALV)</v>
      </c>
      <c r="B408" s="159"/>
      <c r="C408" s="159"/>
      <c r="D408" s="159"/>
      <c r="F408" s="159"/>
      <c r="G408" s="168">
        <f>'  B  '!D72*NOT(P406)</f>
        <v>1.0999999999999999E-2</v>
      </c>
      <c r="H408" s="205">
        <f ca="1">P404</f>
        <v>0</v>
      </c>
      <c r="I408" s="169">
        <f ca="1">-ROUND((G408*H408)*2,1)/2</f>
        <v>0</v>
      </c>
      <c r="J408" s="160">
        <f t="shared" ca="1" si="144"/>
        <v>18</v>
      </c>
      <c r="K408" s="55">
        <v>50</v>
      </c>
      <c r="P408" s="646">
        <f ca="1">-NOT(P406)*'  B  '!C72*P404</f>
        <v>0</v>
      </c>
      <c r="Q408" s="633" t="s">
        <v>1233</v>
      </c>
      <c r="R408" s="163"/>
      <c r="AA408" s="206" t="str">
        <f t="shared" ca="1" si="147"/>
        <v>Arbeitslosenversicherung (ALV)</v>
      </c>
      <c r="AB408" s="206"/>
      <c r="AC408" s="206"/>
      <c r="AD408" s="206"/>
      <c r="AE408" s="63"/>
      <c r="AF408" s="206"/>
      <c r="AG408" s="306"/>
      <c r="AH408" s="205"/>
      <c r="AI408" s="266"/>
    </row>
    <row r="409" spans="1:35" hidden="1" x14ac:dyDescent="0.25">
      <c r="A409" s="67" t="str">
        <f t="shared" ca="1" si="146"/>
        <v>Familienausgleichskasse</v>
      </c>
      <c r="B409" s="159"/>
      <c r="C409" s="159"/>
      <c r="D409" s="159"/>
      <c r="F409" s="159"/>
      <c r="G409" s="168">
        <f>'  B  '!D81</f>
        <v>0</v>
      </c>
      <c r="H409" s="205">
        <f ca="1">P404</f>
        <v>0</v>
      </c>
      <c r="I409" s="169">
        <f ca="1">-ROUND((G409*H409)*2,1)/2</f>
        <v>0</v>
      </c>
      <c r="J409" s="160">
        <f t="shared" ca="1" si="144"/>
        <v>18</v>
      </c>
      <c r="K409" s="55">
        <v>51</v>
      </c>
      <c r="P409" s="646">
        <f ca="1">-'  B  '!C81*MAX(0,P404-P406*N_Pensioniert_Freibetrag)</f>
        <v>0</v>
      </c>
      <c r="Q409" s="633" t="s">
        <v>1234</v>
      </c>
      <c r="R409" s="163"/>
      <c r="AA409" s="170" t="str">
        <f t="shared" ca="1" si="147"/>
        <v>Familienausgleichskasse</v>
      </c>
      <c r="AB409" s="206"/>
      <c r="AC409" s="206"/>
      <c r="AD409" s="206"/>
      <c r="AE409" s="63"/>
      <c r="AF409" s="206"/>
      <c r="AG409" s="306"/>
      <c r="AH409" s="205"/>
      <c r="AI409" s="266"/>
    </row>
    <row r="410" spans="1:35" hidden="1" x14ac:dyDescent="0.25">
      <c r="A410" s="159" t="str">
        <f t="shared" ca="1" si="146"/>
        <v>Berufliche Vorsorge (Pensionskassenbeitrag)</v>
      </c>
      <c r="B410" s="159"/>
      <c r="C410" s="159"/>
      <c r="D410" s="159"/>
      <c r="F410" s="159"/>
      <c r="H410" s="209">
        <f>'  B  '!D80</f>
        <v>0</v>
      </c>
      <c r="I410" s="169">
        <f ca="1">-MAX(0,MIN(P$1+P$2-1,N_Anstellung_Ende)-MAX(P$1,N_Anstellung_Beginn)+1)/P$2*H410</f>
        <v>0</v>
      </c>
      <c r="J410" s="160">
        <f t="shared" ca="1" si="144"/>
        <v>18</v>
      </c>
      <c r="K410" s="55">
        <v>52</v>
      </c>
      <c r="P410" s="647">
        <f ca="1">-'  B  '!C80*(MAX(0,MIN(P$1+P$2-1,N_Anstellung_Ende)-MAX(P$1,N_Anstellung_Beginn)+1)/P$2)</f>
        <v>0</v>
      </c>
      <c r="Q410" s="633" t="s">
        <v>1235</v>
      </c>
      <c r="R410" s="163"/>
      <c r="AA410" s="206" t="str">
        <f t="shared" ca="1" si="147"/>
        <v>Berufliche Vorsorge (Pensionskassenbeitrag)</v>
      </c>
      <c r="AB410" s="206"/>
      <c r="AC410" s="206"/>
      <c r="AD410" s="206"/>
      <c r="AE410" s="63"/>
      <c r="AF410" s="206"/>
      <c r="AG410" s="297"/>
      <c r="AH410" s="205"/>
      <c r="AI410" s="266"/>
    </row>
    <row r="411" spans="1:35" hidden="1" x14ac:dyDescent="0.25">
      <c r="A411" s="159" t="str">
        <f t="shared" ca="1" si="146"/>
        <v>Nichtberufsunfallversicherung (NBU)</v>
      </c>
      <c r="B411" s="159"/>
      <c r="C411" s="159"/>
      <c r="D411" s="159"/>
      <c r="F411" s="210"/>
      <c r="G411" s="211">
        <f>'  B  '!D79</f>
        <v>0</v>
      </c>
      <c r="H411" s="205">
        <f ca="1">P404</f>
        <v>0</v>
      </c>
      <c r="I411" s="169">
        <f ca="1">-ROUND((G411*H411)*2,1)/2</f>
        <v>0</v>
      </c>
      <c r="J411" s="160">
        <f t="shared" ca="1" si="144"/>
        <v>18</v>
      </c>
      <c r="K411" s="55">
        <v>53</v>
      </c>
      <c r="P411" s="646">
        <f ca="1">-'  B  '!C79*P404</f>
        <v>0</v>
      </c>
      <c r="Q411" s="633" t="s">
        <v>1236</v>
      </c>
      <c r="R411" s="163"/>
      <c r="AA411" s="206" t="str">
        <f t="shared" ca="1" si="147"/>
        <v>Nichtberufsunfallversicherung (NBU)</v>
      </c>
      <c r="AB411" s="206"/>
      <c r="AC411" s="206"/>
      <c r="AD411" s="206"/>
      <c r="AE411" s="63"/>
      <c r="AF411" s="307"/>
      <c r="AG411" s="298"/>
      <c r="AH411" s="205"/>
      <c r="AI411" s="266"/>
    </row>
    <row r="412" spans="1:35" hidden="1" x14ac:dyDescent="0.25">
      <c r="A412" s="159" t="str">
        <f t="shared" ca="1" si="146"/>
        <v>Krankentaggeldversicherung</v>
      </c>
      <c r="B412" s="159"/>
      <c r="C412" s="159"/>
      <c r="D412" s="159"/>
      <c r="F412" s="210"/>
      <c r="G412" s="211">
        <f>'  B  '!D82</f>
        <v>0</v>
      </c>
      <c r="H412" s="205">
        <f ca="1">P404</f>
        <v>0</v>
      </c>
      <c r="I412" s="169">
        <f ca="1">-ROUND((G412*H412)*2,1)/2</f>
        <v>0</v>
      </c>
      <c r="J412" s="160">
        <f t="shared" ca="1" si="144"/>
        <v>18</v>
      </c>
      <c r="K412" s="55">
        <v>54</v>
      </c>
      <c r="P412" s="646">
        <f ca="1">-'  B  '!C82*P404</f>
        <v>0</v>
      </c>
      <c r="Q412" s="633" t="s">
        <v>1237</v>
      </c>
      <c r="AA412" s="206" t="str">
        <f t="shared" ca="1" si="147"/>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44"/>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44"/>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44"/>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44"/>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44"/>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44"/>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44"/>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44"/>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44"/>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44"/>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44"/>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44"/>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44"/>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44"/>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44"/>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48">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48"/>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48"/>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48"/>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48"/>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48"/>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48"/>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48"/>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48"/>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48"/>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48"/>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48"/>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48"/>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48"/>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48"/>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48"/>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48"/>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48"/>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48"/>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48"/>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48"/>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48"/>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48"/>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48"/>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48"/>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48"/>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48"/>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48"/>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48"/>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48"/>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1MnWKn/5N09cA3NRmPVgV77rRojD1czLkJ4uuMFey6MDQBNEQAMKKFEfPT/CX7mQuBbc/bkUZ0KT00yv1KcyyA==" saltValue="6kxfgbtZye2aTjZWk5k45g==" spinCount="100000" sheet="1" objects="1" scenarios="1"/>
  <mergeCells count="342">
    <mergeCell ref="A116:G116"/>
    <mergeCell ref="A130:G130"/>
    <mergeCell ref="A243:J243"/>
    <mergeCell ref="A132:G132"/>
    <mergeCell ref="A133:G133"/>
    <mergeCell ref="A154:D154"/>
    <mergeCell ref="A155:D155"/>
    <mergeCell ref="A92:G92"/>
    <mergeCell ref="A93:G93"/>
    <mergeCell ref="A94:G94"/>
    <mergeCell ref="A95:G95"/>
    <mergeCell ref="A96:G96"/>
    <mergeCell ref="A97:G97"/>
    <mergeCell ref="A98:G98"/>
    <mergeCell ref="A99:G99"/>
    <mergeCell ref="A113:G113"/>
    <mergeCell ref="A141:G141"/>
    <mergeCell ref="A142:G142"/>
    <mergeCell ref="A143:G143"/>
    <mergeCell ref="A122:G122"/>
    <mergeCell ref="A123:G123"/>
    <mergeCell ref="A124:G124"/>
    <mergeCell ref="A125:G125"/>
    <mergeCell ref="A114:G114"/>
    <mergeCell ref="A115:G115"/>
    <mergeCell ref="A306:E306"/>
    <mergeCell ref="A307:E307"/>
    <mergeCell ref="A140:G140"/>
    <mergeCell ref="G302:I302"/>
    <mergeCell ref="G303:I303"/>
    <mergeCell ref="G304:I304"/>
    <mergeCell ref="E286:F286"/>
    <mergeCell ref="E287:F287"/>
    <mergeCell ref="E288:F288"/>
    <mergeCell ref="E289:F289"/>
    <mergeCell ref="E290:F290"/>
    <mergeCell ref="E291:F291"/>
    <mergeCell ref="E280:F280"/>
    <mergeCell ref="E281:F281"/>
    <mergeCell ref="E282:F282"/>
    <mergeCell ref="E283:F283"/>
    <mergeCell ref="E284:F284"/>
    <mergeCell ref="E285:F285"/>
    <mergeCell ref="E274:F274"/>
    <mergeCell ref="E275:F275"/>
    <mergeCell ref="E276:F276"/>
    <mergeCell ref="E277:F277"/>
    <mergeCell ref="E278:F278"/>
    <mergeCell ref="A79:G79"/>
    <mergeCell ref="A80:G80"/>
    <mergeCell ref="A81:G81"/>
    <mergeCell ref="A82:G82"/>
    <mergeCell ref="A83:G83"/>
    <mergeCell ref="A84:G84"/>
    <mergeCell ref="A85:G85"/>
    <mergeCell ref="A86:G86"/>
    <mergeCell ref="A87:G87"/>
    <mergeCell ref="A88:G88"/>
    <mergeCell ref="A89:G89"/>
    <mergeCell ref="A90:G90"/>
    <mergeCell ref="A91:G91"/>
    <mergeCell ref="A144:G144"/>
    <mergeCell ref="A104:G104"/>
    <mergeCell ref="A105:G105"/>
    <mergeCell ref="A106:G106"/>
    <mergeCell ref="A107:G107"/>
    <mergeCell ref="A139:G139"/>
    <mergeCell ref="A136:G136"/>
    <mergeCell ref="A137:G137"/>
    <mergeCell ref="A138:G138"/>
    <mergeCell ref="A131:G131"/>
    <mergeCell ref="A118:G118"/>
    <mergeCell ref="A119:G119"/>
    <mergeCell ref="A117:G117"/>
    <mergeCell ref="A108:G108"/>
    <mergeCell ref="A109:G109"/>
    <mergeCell ref="A120:G120"/>
    <mergeCell ref="A126:G126"/>
    <mergeCell ref="A127:G127"/>
    <mergeCell ref="A128:G128"/>
    <mergeCell ref="A129:G129"/>
    <mergeCell ref="G328:I328"/>
    <mergeCell ref="G323:I323"/>
    <mergeCell ref="G324:I324"/>
    <mergeCell ref="G329:I329"/>
    <mergeCell ref="G325:I325"/>
    <mergeCell ref="G327:I327"/>
    <mergeCell ref="G316:I316"/>
    <mergeCell ref="G317:I317"/>
    <mergeCell ref="A110:G110"/>
    <mergeCell ref="G321:I321"/>
    <mergeCell ref="G319:I319"/>
    <mergeCell ref="G320:I320"/>
    <mergeCell ref="A240:D240"/>
    <mergeCell ref="E240:F240"/>
    <mergeCell ref="A241:D241"/>
    <mergeCell ref="E241:F241"/>
    <mergeCell ref="A326:C326"/>
    <mergeCell ref="G326:I326"/>
    <mergeCell ref="B261:I261"/>
    <mergeCell ref="G240:H240"/>
    <mergeCell ref="G322:I322"/>
    <mergeCell ref="A322:C322"/>
    <mergeCell ref="A323:C323"/>
    <mergeCell ref="A324:C324"/>
    <mergeCell ref="A329:C329"/>
    <mergeCell ref="A325:C325"/>
    <mergeCell ref="A328:C328"/>
    <mergeCell ref="A327:C327"/>
    <mergeCell ref="A316:C316"/>
    <mergeCell ref="A317:C317"/>
    <mergeCell ref="A318:C318"/>
    <mergeCell ref="A321:C321"/>
    <mergeCell ref="A319:C319"/>
    <mergeCell ref="A320:C320"/>
    <mergeCell ref="G318:I318"/>
    <mergeCell ref="A302:E302"/>
    <mergeCell ref="E292:F292"/>
    <mergeCell ref="E293:F293"/>
    <mergeCell ref="A303:E303"/>
    <mergeCell ref="A304:E304"/>
    <mergeCell ref="A305:E305"/>
    <mergeCell ref="E294:F294"/>
    <mergeCell ref="A299:E299"/>
    <mergeCell ref="A300:E300"/>
    <mergeCell ref="A301:E301"/>
    <mergeCell ref="B296:C296"/>
    <mergeCell ref="G301:I301"/>
    <mergeCell ref="G305:I305"/>
    <mergeCell ref="G306:I306"/>
    <mergeCell ref="G307:I307"/>
    <mergeCell ref="E313:I313"/>
    <mergeCell ref="H310:I310"/>
    <mergeCell ref="A311:I311"/>
    <mergeCell ref="A312:I312"/>
    <mergeCell ref="A314:C314"/>
    <mergeCell ref="A315:C315"/>
    <mergeCell ref="G314:I314"/>
    <mergeCell ref="G315:I315"/>
    <mergeCell ref="E279:F279"/>
    <mergeCell ref="E268:F268"/>
    <mergeCell ref="E269:F269"/>
    <mergeCell ref="E270:F270"/>
    <mergeCell ref="E271:F271"/>
    <mergeCell ref="E272:F272"/>
    <mergeCell ref="E273:F273"/>
    <mergeCell ref="E262:F262"/>
    <mergeCell ref="E263:F263"/>
    <mergeCell ref="E264:F264"/>
    <mergeCell ref="E265:F265"/>
    <mergeCell ref="E266:F266"/>
    <mergeCell ref="E267:F267"/>
    <mergeCell ref="A252:D252"/>
    <mergeCell ref="A253:D253"/>
    <mergeCell ref="E246:H246"/>
    <mergeCell ref="E247:H247"/>
    <mergeCell ref="E248:H248"/>
    <mergeCell ref="E249:H249"/>
    <mergeCell ref="E250:H250"/>
    <mergeCell ref="E251:H251"/>
    <mergeCell ref="E252:H252"/>
    <mergeCell ref="E253:H253"/>
    <mergeCell ref="A246:D246"/>
    <mergeCell ref="A247:D247"/>
    <mergeCell ref="A248:D248"/>
    <mergeCell ref="A249:D249"/>
    <mergeCell ref="A250:D250"/>
    <mergeCell ref="A251:D251"/>
    <mergeCell ref="H260:I260"/>
    <mergeCell ref="E239:F239"/>
    <mergeCell ref="E229:F229"/>
    <mergeCell ref="E230:F230"/>
    <mergeCell ref="E236:F236"/>
    <mergeCell ref="A236:D236"/>
    <mergeCell ref="E219:F219"/>
    <mergeCell ref="E220:F220"/>
    <mergeCell ref="E221:F221"/>
    <mergeCell ref="E238:F238"/>
    <mergeCell ref="A238:D238"/>
    <mergeCell ref="A239:D239"/>
    <mergeCell ref="A229:D229"/>
    <mergeCell ref="A232:D232"/>
    <mergeCell ref="A234:D234"/>
    <mergeCell ref="A235:D235"/>
    <mergeCell ref="A230:D230"/>
    <mergeCell ref="A231:D231"/>
    <mergeCell ref="A237:D237"/>
    <mergeCell ref="A222:D222"/>
    <mergeCell ref="A221:D221"/>
    <mergeCell ref="E226:F226"/>
    <mergeCell ref="E231:F231"/>
    <mergeCell ref="G230:H230"/>
    <mergeCell ref="G237:I237"/>
    <mergeCell ref="A217:D217"/>
    <mergeCell ref="E209:H209"/>
    <mergeCell ref="E210:H210"/>
    <mergeCell ref="E211:H211"/>
    <mergeCell ref="A214:D214"/>
    <mergeCell ref="A227:D227"/>
    <mergeCell ref="G227:I227"/>
    <mergeCell ref="A225:D225"/>
    <mergeCell ref="A226:D226"/>
    <mergeCell ref="G226:I226"/>
    <mergeCell ref="G236:I236"/>
    <mergeCell ref="G218:I218"/>
    <mergeCell ref="G228:I228"/>
    <mergeCell ref="A228:D228"/>
    <mergeCell ref="E228:F228"/>
    <mergeCell ref="A218:D218"/>
    <mergeCell ref="A219:D219"/>
    <mergeCell ref="A224:D224"/>
    <mergeCell ref="A220:D220"/>
    <mergeCell ref="E218:F218"/>
    <mergeCell ref="G220:H220"/>
    <mergeCell ref="B13:I13"/>
    <mergeCell ref="B14:I14"/>
    <mergeCell ref="B15:I15"/>
    <mergeCell ref="B16:I16"/>
    <mergeCell ref="B17:I17"/>
    <mergeCell ref="B18:I18"/>
    <mergeCell ref="A43:D43"/>
    <mergeCell ref="F40:I40"/>
    <mergeCell ref="A32:D32"/>
    <mergeCell ref="A33:D33"/>
    <mergeCell ref="F32:H32"/>
    <mergeCell ref="F33:H33"/>
    <mergeCell ref="E43:H43"/>
    <mergeCell ref="A27:D27"/>
    <mergeCell ref="A29:D29"/>
    <mergeCell ref="A30:D30"/>
    <mergeCell ref="A31:D31"/>
    <mergeCell ref="A41:D41"/>
    <mergeCell ref="E41:F41"/>
    <mergeCell ref="A39:D39"/>
    <mergeCell ref="A36:D36"/>
    <mergeCell ref="E31:F31"/>
    <mergeCell ref="E30:F30"/>
    <mergeCell ref="A34:D34"/>
    <mergeCell ref="A42:E42"/>
    <mergeCell ref="F42:I42"/>
    <mergeCell ref="A64:G64"/>
    <mergeCell ref="A65:G65"/>
    <mergeCell ref="A66:G66"/>
    <mergeCell ref="A67:G67"/>
    <mergeCell ref="A68:G68"/>
    <mergeCell ref="A69:G69"/>
    <mergeCell ref="A70:G70"/>
    <mergeCell ref="A45:E45"/>
    <mergeCell ref="F44:I44"/>
    <mergeCell ref="F45:I45"/>
    <mergeCell ref="H21:I21"/>
    <mergeCell ref="A28:D28"/>
    <mergeCell ref="A26:I26"/>
    <mergeCell ref="E28:F28"/>
    <mergeCell ref="E27:F27"/>
    <mergeCell ref="E29:F29"/>
    <mergeCell ref="A25:H25"/>
    <mergeCell ref="F34:H34"/>
    <mergeCell ref="A35:D35"/>
    <mergeCell ref="F35:H35"/>
    <mergeCell ref="A158:E158"/>
    <mergeCell ref="G217:I217"/>
    <mergeCell ref="G216:I216"/>
    <mergeCell ref="A209:D209"/>
    <mergeCell ref="E216:F216"/>
    <mergeCell ref="A205:D205"/>
    <mergeCell ref="A203:D203"/>
    <mergeCell ref="E202:H202"/>
    <mergeCell ref="E203:H203"/>
    <mergeCell ref="A208:D208"/>
    <mergeCell ref="A207:D207"/>
    <mergeCell ref="A163:E163"/>
    <mergeCell ref="A164:E164"/>
    <mergeCell ref="A175:E175"/>
    <mergeCell ref="A176:E176"/>
    <mergeCell ref="E204:H204"/>
    <mergeCell ref="E206:H206"/>
    <mergeCell ref="E207:H207"/>
    <mergeCell ref="A180:E180"/>
    <mergeCell ref="A216:D216"/>
    <mergeCell ref="A181:E181"/>
    <mergeCell ref="A182:E182"/>
    <mergeCell ref="A184:E184"/>
    <mergeCell ref="A185:E185"/>
    <mergeCell ref="A186:E186"/>
    <mergeCell ref="A188:E188"/>
    <mergeCell ref="A189:E189"/>
    <mergeCell ref="A215:D215"/>
    <mergeCell ref="A210:D210"/>
    <mergeCell ref="A211:D211"/>
    <mergeCell ref="A202:D202"/>
    <mergeCell ref="A204:D204"/>
    <mergeCell ref="A206:D206"/>
    <mergeCell ref="A212:J212"/>
    <mergeCell ref="A159:E159"/>
    <mergeCell ref="A160:E160"/>
    <mergeCell ref="A161:E161"/>
    <mergeCell ref="G238:I238"/>
    <mergeCell ref="A148:I148"/>
    <mergeCell ref="H147:I147"/>
    <mergeCell ref="A44:E44"/>
    <mergeCell ref="A100:G100"/>
    <mergeCell ref="A101:G101"/>
    <mergeCell ref="A102:G102"/>
    <mergeCell ref="A103:G103"/>
    <mergeCell ref="A71:G71"/>
    <mergeCell ref="A72:G72"/>
    <mergeCell ref="A73:G73"/>
    <mergeCell ref="A121:G121"/>
    <mergeCell ref="A74:G74"/>
    <mergeCell ref="A75:G75"/>
    <mergeCell ref="A76:G76"/>
    <mergeCell ref="A77:G77"/>
    <mergeCell ref="A78:G78"/>
    <mergeCell ref="A111:G111"/>
    <mergeCell ref="A112:G112"/>
    <mergeCell ref="A134:G134"/>
    <mergeCell ref="A135:G135"/>
    <mergeCell ref="A157:J157"/>
    <mergeCell ref="A331:I331"/>
    <mergeCell ref="A149:J149"/>
    <mergeCell ref="A162:E162"/>
    <mergeCell ref="F162:I162"/>
    <mergeCell ref="A172:E172"/>
    <mergeCell ref="A183:E183"/>
    <mergeCell ref="F173:I173"/>
    <mergeCell ref="F184:I184"/>
    <mergeCell ref="A242:D242"/>
    <mergeCell ref="E242:F242"/>
    <mergeCell ref="A177:E177"/>
    <mergeCell ref="A178:E178"/>
    <mergeCell ref="A165:E165"/>
    <mergeCell ref="A166:E166"/>
    <mergeCell ref="A167:E167"/>
    <mergeCell ref="A169:E169"/>
    <mergeCell ref="A170:E170"/>
    <mergeCell ref="A171:E171"/>
    <mergeCell ref="A152:D152"/>
    <mergeCell ref="A151:D151"/>
    <mergeCell ref="A173:E173"/>
    <mergeCell ref="A174:E174"/>
    <mergeCell ref="A187:E187"/>
  </mergeCells>
  <phoneticPr fontId="0" type="noConversion"/>
  <conditionalFormatting sqref="A145 G145:I145">
    <cfRule type="expression" dxfId="645" priority="59" stopIfTrue="1">
      <formula>$P145="BG"</formula>
    </cfRule>
    <cfRule type="expression" dxfId="644" priority="58" stopIfTrue="1">
      <formula>$P145="B"</formula>
    </cfRule>
  </conditionalFormatting>
  <conditionalFormatting sqref="A264:A294">
    <cfRule type="expression" dxfId="643" priority="68" stopIfTrue="1">
      <formula>WEEKDAY(A264,2)&gt;5</formula>
    </cfRule>
    <cfRule type="expression" dxfId="642" priority="67" stopIfTrue="1">
      <formula>R264=1</formula>
    </cfRule>
  </conditionalFormatting>
  <conditionalFormatting sqref="A216:D216">
    <cfRule type="expression" dxfId="641" priority="49" stopIfTrue="1">
      <formula>$O216&lt;1</formula>
    </cfRule>
  </conditionalFormatting>
  <conditionalFormatting sqref="A217:D217">
    <cfRule type="expression" dxfId="640" priority="48">
      <formula>$S$216=9</formula>
    </cfRule>
  </conditionalFormatting>
  <conditionalFormatting sqref="A217:D225 E213:I220 E222:I230 A213:D215 E221 G221:I221">
    <cfRule type="expression" dxfId="639" priority="50" stopIfTrue="1">
      <formula>$O213&lt;1</formula>
    </cfRule>
  </conditionalFormatting>
  <conditionalFormatting sqref="A224:D232">
    <cfRule type="expression" dxfId="638" priority="4" stopIfTrue="1">
      <formula>$O224&lt;1</formula>
    </cfRule>
  </conditionalFormatting>
  <conditionalFormatting sqref="A227:D227">
    <cfRule type="expression" dxfId="637" priority="3">
      <formula>$S$226=9</formula>
    </cfRule>
  </conditionalFormatting>
  <conditionalFormatting sqref="A236:D236">
    <cfRule type="expression" dxfId="636" priority="41" stopIfTrue="1">
      <formula>$O236&lt;1</formula>
    </cfRule>
  </conditionalFormatting>
  <conditionalFormatting sqref="A237:D237">
    <cfRule type="expression" dxfId="635" priority="40">
      <formula>$S$216=9</formula>
    </cfRule>
  </conditionalFormatting>
  <conditionalFormatting sqref="A264:F294">
    <cfRule type="expression" dxfId="634" priority="60" stopIfTrue="1">
      <formula>OR($AE264&gt;3,$AC264=1)</formula>
    </cfRule>
    <cfRule type="expression" dxfId="633" priority="30" stopIfTrue="1">
      <formula>$AE264=3</formula>
    </cfRule>
  </conditionalFormatting>
  <conditionalFormatting sqref="A28:I30">
    <cfRule type="expression" dxfId="632" priority="76" stopIfTrue="1">
      <formula>NOT(VLOOKUP($I$25,A_JaNein_Auswahl,2)=2)</formula>
    </cfRule>
  </conditionalFormatting>
  <conditionalFormatting sqref="A28:I45">
    <cfRule type="expression" dxfId="631" priority="77" stopIfTrue="1">
      <formula>NOT($Q$24)</formula>
    </cfRule>
  </conditionalFormatting>
  <conditionalFormatting sqref="A34:I34">
    <cfRule type="expression" dxfId="630" priority="95" stopIfTrue="1">
      <formula>NOT($Q$213)</formula>
    </cfRule>
  </conditionalFormatting>
  <conditionalFormatting sqref="A35:I35">
    <cfRule type="expression" dxfId="629" priority="97" stopIfTrue="1">
      <formula>NOT($Q$213)</formula>
    </cfRule>
  </conditionalFormatting>
  <conditionalFormatting sqref="A234:I242 A237:D242 A234:D235 A243">
    <cfRule type="expression" dxfId="628" priority="42" stopIfTrue="1">
      <formula>$O234&lt;1</formula>
    </cfRule>
  </conditionalFormatting>
  <conditionalFormatting sqref="A63:J144">
    <cfRule type="expression" dxfId="627" priority="10" stopIfTrue="1">
      <formula>$P63="B"</formula>
    </cfRule>
    <cfRule type="expression" dxfId="626" priority="11" stopIfTrue="1">
      <formula>$P63="BG"</formula>
    </cfRule>
    <cfRule type="expression" dxfId="625" priority="12" stopIfTrue="1">
      <formula>$P63="K"</formula>
    </cfRule>
  </conditionalFormatting>
  <conditionalFormatting sqref="B263:I294">
    <cfRule type="expression" dxfId="624" priority="61" stopIfTrue="1">
      <formula>OR($AE263=1,$AE263=2,$R263=1)</formula>
    </cfRule>
  </conditionalFormatting>
  <conditionalFormatting sqref="E154:E155">
    <cfRule type="expression" dxfId="623" priority="5" stopIfTrue="1">
      <formula>$O154&lt;1</formula>
    </cfRule>
  </conditionalFormatting>
  <conditionalFormatting sqref="E313">
    <cfRule type="expression" dxfId="622" priority="6">
      <formula>OR(D315="Ja",D315="Oui",D316="Ja",D316="Oui")</formula>
    </cfRule>
  </conditionalFormatting>
  <conditionalFormatting sqref="F161">
    <cfRule type="expression" dxfId="621" priority="1">
      <formula>S216=9</formula>
    </cfRule>
    <cfRule type="expression" dxfId="620" priority="2" stopIfTrue="1">
      <formula>$O161&lt;1</formula>
    </cfRule>
  </conditionalFormatting>
  <conditionalFormatting sqref="F161:F162">
    <cfRule type="expression" dxfId="619" priority="37">
      <formula>S216=9</formula>
    </cfRule>
  </conditionalFormatting>
  <conditionalFormatting sqref="F172">
    <cfRule type="expression" dxfId="618" priority="36" stopIfTrue="1">
      <formula>$O172&lt;1</formula>
    </cfRule>
    <cfRule type="expression" dxfId="617" priority="35">
      <formula>S225=9</formula>
    </cfRule>
  </conditionalFormatting>
  <conditionalFormatting sqref="F173">
    <cfRule type="expression" dxfId="616" priority="18" stopIfTrue="1">
      <formula>$O173&lt;1</formula>
    </cfRule>
    <cfRule type="expression" dxfId="615" priority="17">
      <formula>S229=9</formula>
    </cfRule>
  </conditionalFormatting>
  <conditionalFormatting sqref="F183">
    <cfRule type="expression" dxfId="614" priority="33">
      <formula>S236=9</formula>
    </cfRule>
  </conditionalFormatting>
  <conditionalFormatting sqref="F184">
    <cfRule type="expression" dxfId="613" priority="16" stopIfTrue="1">
      <formula>$O184&lt;1</formula>
    </cfRule>
    <cfRule type="expression" dxfId="612" priority="15">
      <formula>S241=9</formula>
    </cfRule>
  </conditionalFormatting>
  <conditionalFormatting sqref="F158:I161 F162 F163:I172 F154:J154 A155 F155:I155 A158:E168 A170:E179 A181:E198 F185:I198 A202:I211 A212 E231 G231:I231 E232:I232 A244:I258 A315:I329">
    <cfRule type="expression" dxfId="611" priority="54" stopIfTrue="1">
      <formula>$O154&lt;1</formula>
    </cfRule>
  </conditionalFormatting>
  <conditionalFormatting sqref="F174:I182">
    <cfRule type="expression" dxfId="610" priority="19" stopIfTrue="1">
      <formula>$O174&lt;1</formula>
    </cfRule>
  </conditionalFormatting>
  <conditionalFormatting sqref="F183:I183">
    <cfRule type="expression" dxfId="609" priority="34" stopIfTrue="1">
      <formula>$O184&lt;1</formula>
    </cfRule>
  </conditionalFormatting>
  <conditionalFormatting sqref="F315:I329">
    <cfRule type="expression" dxfId="608" priority="70" stopIfTrue="1">
      <formula>NOT(VLOOKUP($D315,A_JaNein_Auswahl,2,0)=1)</formula>
    </cfRule>
  </conditionalFormatting>
  <conditionalFormatting sqref="G217:I217">
    <cfRule type="expression" dxfId="607" priority="47">
      <formula>$O217&gt;1</formula>
    </cfRule>
  </conditionalFormatting>
  <conditionalFormatting sqref="G227:I227">
    <cfRule type="expression" dxfId="606" priority="43">
      <formula>$O227&gt;1</formula>
    </cfRule>
  </conditionalFormatting>
  <conditionalFormatting sqref="G237:I237">
    <cfRule type="expression" dxfId="605" priority="39">
      <formula>$O237&gt;1</formula>
    </cfRule>
  </conditionalFormatting>
  <conditionalFormatting sqref="G295:I295">
    <cfRule type="expression" dxfId="604" priority="72" stopIfTrue="1">
      <formula>SUM($G$295:$I$295)&gt;0</formula>
    </cfRule>
  </conditionalFormatting>
  <conditionalFormatting sqref="I23:I24 A23:H27 I26:I27">
    <cfRule type="expression" dxfId="603" priority="78" stopIfTrue="1">
      <formula>NOT($Q$24)</formula>
    </cfRule>
  </conditionalFormatting>
  <conditionalFormatting sqref="I25">
    <cfRule type="expression" dxfId="602" priority="85" stopIfTrue="1">
      <formula>NOT($Q$24)</formula>
    </cfRule>
  </conditionalFormatting>
  <conditionalFormatting sqref="I32">
    <cfRule type="expression" dxfId="601" priority="80" stopIfTrue="1">
      <formula>NOT($Q$32)</formula>
    </cfRule>
  </conditionalFormatting>
  <conditionalFormatting sqref="I37">
    <cfRule type="expression" dxfId="600" priority="89" stopIfTrue="1">
      <formula>NOT($O$37=1)</formula>
    </cfRule>
  </conditionalFormatting>
  <conditionalFormatting sqref="I38">
    <cfRule type="expression" dxfId="599" priority="87" stopIfTrue="1">
      <formula>NOT($O$38=1)</formula>
    </cfRule>
  </conditionalFormatting>
  <conditionalFormatting sqref="I263">
    <cfRule type="expression" dxfId="598" priority="74" stopIfTrue="1">
      <formula>OR(SUM($G$295:$I$295)&gt;0,SUM($AC$264:$AC$294)&gt;0)</formula>
    </cfRule>
  </conditionalFormatting>
  <conditionalFormatting sqref="U264:AE294 BI264:BS294 CA264:CD294 CF264:CF294 CO264:CY294 DA264:DD294 CE264:CE295">
    <cfRule type="cellIs" dxfId="597" priority="71" stopIfTrue="1" operator="equal">
      <formula>0</formula>
    </cfRule>
  </conditionalFormatting>
  <conditionalFormatting sqref="AF264:AF294">
    <cfRule type="expression" dxfId="596" priority="53" stopIfTrue="1">
      <formula>$AE264&gt;3</formula>
    </cfRule>
    <cfRule type="expression" dxfId="595" priority="51" stopIfTrue="1">
      <formula>$AE264=3</formula>
    </cfRule>
    <cfRule type="expression" dxfId="594" priority="52" stopIfTrue="1">
      <formula>OR($AE264=1,$AE264=2)</formula>
    </cfRule>
  </conditionalFormatting>
  <conditionalFormatting sqref="DJ263:DK294 DI264:DI294 DL264:DM294">
    <cfRule type="cellIs" dxfId="593" priority="32" stopIfTrue="1" operator="equal">
      <formula>0</formula>
    </cfRule>
  </conditionalFormatting>
  <dataValidations count="11">
    <dataValidation type="date" allowBlank="1" showInputMessage="1" showErrorMessage="1" sqref="I232" xr:uid="{00000000-0002-0000-0300-000001000000}">
      <formula1>I231</formula1>
      <formula2>I226</formula2>
    </dataValidation>
    <dataValidation type="custom" allowBlank="1" showInputMessage="1" showErrorMessage="1" sqref="E264:F294" xr:uid="{00000000-0002-0000-0300-000002000000}">
      <formula1>NOT(U264=1)</formula1>
    </dataValidation>
    <dataValidation type="whole" allowBlank="1" showInputMessage="1" showErrorMessage="1" sqref="D264:D294" xr:uid="{00000000-0002-0000-0300-000003000000}">
      <formula1>0</formula1>
      <formula2>S264</formula2>
    </dataValidation>
    <dataValidation type="date" operator="greaterThanOrEqual" allowBlank="1" showInputMessage="1" showErrorMessage="1" sqref="I225 I215 I235" xr:uid="{00000000-0002-0000-0300-000004000000}">
      <formula1>I214</formula1>
    </dataValidation>
    <dataValidation type="date" operator="greaterThanOrEqual" allowBlank="1" showInputMessage="1" showErrorMessage="1" sqref="I23" xr:uid="{00000000-0002-0000-0300-000005000000}">
      <formula1>H21</formula1>
    </dataValidation>
    <dataValidation type="list" allowBlank="1" showInputMessage="1" showErrorMessage="1" sqref="AI25:AI26 I25:I26 D315:D329" xr:uid="{00000000-0002-0000-0300-000006000000}">
      <formula1>L_JaNein</formula1>
    </dataValidation>
    <dataValidation type="textLength" allowBlank="1" showInputMessage="1" showErrorMessage="1" sqref="G315:I329" xr:uid="{00000000-0002-0000-0300-000007000000}">
      <formula1>0</formula1>
      <formula2>32</formula2>
    </dataValidation>
    <dataValidation type="list" allowBlank="1" showInputMessage="1" showErrorMessage="1" sqref="G228 G218 G238" xr:uid="{00000000-0002-0000-0300-000008000000}">
      <formula1>L_Rückfall</formula1>
    </dataValidation>
    <dataValidation type="list" allowBlank="1" showInputMessage="1" showErrorMessage="1" sqref="G216 G226 G236" xr:uid="{00000000-0002-0000-0300-000009000000}">
      <formula1>L_Arbeitsunfähigkeit_Grund</formula1>
    </dataValidation>
    <dataValidation type="list" allowBlank="1" showInputMessage="1" showErrorMessage="1" sqref="G227:I227 G217:I217 G237:I237" xr:uid="{00000000-0002-0000-0300-00000A000000}">
      <formula1>L_ArtUnfall</formula1>
    </dataValidation>
    <dataValidation type="textLength" allowBlank="1" showInputMessage="1" showErrorMessage="1" sqref="F40:I40 F44:I45 F42:I42" xr:uid="{00000000-0002-0000-0300-00000B000000}">
      <formula1>0</formula1>
      <formula2>40</formula2>
    </dataValidation>
  </dataValidations>
  <hyperlinks>
    <hyperlink ref="B13:I13" location="Linkziel_M_Eingaben" display="Monatlliche Abrechnung: Geben Sie hier die Informationen ein, um die Lohnabrechnung für diesen Monat zu erstellen" xr:uid="{00000000-0004-0000-0300-000000000000}"/>
    <hyperlink ref="B18:I18" location="Linkziel_M_Korrekturen" display="Korrekturen: Wenn Sie Korrekturen zu einer früheren Lohnabrechnung machen müssen, können Sie diese hier eingeben" xr:uid="{00000000-0004-0000-0300-000001000000}"/>
    <hyperlink ref="B17:I17" location="Linkziel_M_Einsatzrapport" display="Einsatzrapport: Wenn Sie einen Einsatzrapport führen wollen, können Sie hier die Arbeitszeit pro Tag erfassen" xr:uid="{00000000-0004-0000-03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300-000003000000}"/>
    <hyperlink ref="B15:I15" location="Linkziel_M_ASTeK" display="Verrechnung Assistenzbeitrag: Hier finden Sie die Daten für den Übertrag ins ASTeK (bzw. für das Rechnungsformular Assistenzbeitrag, falls Sie das ASTeK nicht verwenden)" xr:uid="{00000000-0004-0000-0300-000004000000}"/>
    <hyperlink ref="B14:I14" location="Linkziel_M_Lohnabrechnung" display="Lohnabrechnung zum Ausdrucken" xr:uid="{00000000-0004-0000-0300-000005000000}"/>
    <hyperlink ref="A5" location="Linkziel_M_Eingaben" display="Linkziel_M_Eingaben" xr:uid="{00000000-0004-0000-0300-000006000000}"/>
    <hyperlink ref="A6" location="Linkziel_M_Lohnabrechnung" display="Linkziel_M_Lohnabrechnung" xr:uid="{00000000-0004-0000-0300-000007000000}"/>
    <hyperlink ref="A7" location="Linkziel_M_ASTeK" display="Linkziel_M_ASTeK" xr:uid="{00000000-0004-0000-0300-000008000000}"/>
    <hyperlink ref="F5" location="Linkziel_M_Abwesenheiten" display="Linkziel_M_Abwesenheiten" xr:uid="{00000000-0004-0000-0300-000009000000}"/>
    <hyperlink ref="F6" location="Linkziel_M_Einsatzrapport" display="Linkziel_M_Einsatzrapport" xr:uid="{00000000-0004-0000-0300-00000A000000}"/>
    <hyperlink ref="F7" location="Linkziel_M_Korrekturen" display="Linkziel_M_Korrekturen" xr:uid="{00000000-0004-0000-0300-00000B000000}"/>
    <hyperlink ref="A16" location="Linkziel_M_Abwesenheiten" display="Linkziel_M_Abwesenheiten" xr:uid="{00000000-0004-0000-0300-00000C000000}"/>
    <hyperlink ref="A17" location="Linkziel_M_Einsatzrapport" display="Linkziel_M_Einsatzrapport" xr:uid="{00000000-0004-0000-0300-00000D000000}"/>
    <hyperlink ref="A18" location="Linkziel_M_Korrekturen" display="Linkziel_M_Korrekturen" xr:uid="{00000000-0004-0000-0300-00000E000000}"/>
    <hyperlink ref="A13" location="Linkziel_M_Eingaben" display="Linkziel_M_Eingaben" xr:uid="{00000000-0004-0000-0300-00000F000000}"/>
    <hyperlink ref="A14" location="Linkziel_M_Lohnabrechnung" display="Linkziel_M_Lohnabrechnung" xr:uid="{00000000-0004-0000-0300-000010000000}"/>
    <hyperlink ref="A15" location="Linkziel_M_ASTeK" display="Linkziel_M_ASTeK" xr:uid="{00000000-0004-0000-0300-000011000000}"/>
    <hyperlink ref="A25:G25" location="Linkziel_M_Einsatzrapport" display="Linkziel_M_Einsatzrapport" xr:uid="{00000000-0004-0000-0300-000012000000}"/>
    <hyperlink ref="H1:I1" location="Intro!A22" display="zurück zum Intro" xr:uid="{00000000-0004-0000-03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3" manualBreakCount="3">
    <brk id="198" max="10" man="1"/>
    <brk id="233" max="9" man="1"/>
    <brk id="297" max="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März</v>
      </c>
      <c r="H1" s="450" t="str">
        <f ca="1">INDIRECT(ADDRESS(ROW()+N_Offset_M,COLUMN()+(N_SpracheAuswahl)*26,,,"Text"))</f>
        <v>zurück zum Intro</v>
      </c>
      <c r="I1" s="449"/>
      <c r="O1" s="56" t="s">
        <v>97</v>
      </c>
      <c r="P1" s="309">
        <f>DATE('  B  '!C13,3,1)</f>
        <v>45352</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45352</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März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45352</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7">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I153" s="250"/>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ca="1">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0">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0"/>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0"/>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0"/>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0"/>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0"/>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0"/>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0"/>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0"/>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0"/>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1">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März 2024</v>
      </c>
      <c r="L200" s="87"/>
      <c r="N200" s="87"/>
      <c r="O200" s="288">
        <f ca="1">1*NOT(AA200=0)</f>
        <v>1</v>
      </c>
      <c r="AA200" s="158" t="str">
        <f t="shared" ca="1" si="31"/>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1"/>
        <v>1. Ferien der Assistenzperson</v>
      </c>
    </row>
    <row r="202" spans="1:43" ht="27" customHeight="1" x14ac:dyDescent="0.25">
      <c r="A202" s="862" t="str">
        <f t="shared" ref="A202:A211" ca="1" si="32">IF(O202=0,"",IF(O202=1,AA202,P202))</f>
        <v>Ferienguthaben Monatsbeginn</v>
      </c>
      <c r="B202" s="862"/>
      <c r="C202" s="862"/>
      <c r="D202" s="862"/>
      <c r="E202" s="92" t="str">
        <f t="shared" ref="E202:E211" ca="1" si="33">IF(O202&gt;0,AE202,"")</f>
        <v>Kalendertage</v>
      </c>
      <c r="F202" s="308"/>
      <c r="G202" s="308"/>
      <c r="H202" s="645"/>
      <c r="I202" s="147">
        <f ca="1">AT263</f>
        <v>28</v>
      </c>
      <c r="O202" s="288">
        <v>1</v>
      </c>
      <c r="AA202" s="55" t="str">
        <f t="shared" ca="1" si="31"/>
        <v>Ferienguthaben Monatsbeginn</v>
      </c>
      <c r="AE202" s="55" t="str">
        <f ca="1">INDIRECT(ADDRESS(ROW()+N_Offset_M,COLUMN(E202)+(N_SpracheAuswahl)*26,,,"Text"))</f>
        <v>Kalendertage</v>
      </c>
    </row>
    <row r="203" spans="1:43" x14ac:dyDescent="0.25">
      <c r="A203" s="906" t="str">
        <f t="shared" ca="1" si="32"/>
        <v>Ferienbeginn</v>
      </c>
      <c r="B203" s="906"/>
      <c r="C203" s="906"/>
      <c r="D203" s="906"/>
      <c r="E203" s="92" t="str">
        <f t="shared" ca="1" si="33"/>
        <v>Datum erster Ferientag</v>
      </c>
      <c r="F203" s="308"/>
      <c r="G203" s="308"/>
      <c r="H203" s="645"/>
      <c r="I203" s="185"/>
      <c r="O203" s="288">
        <f ca="1">1*NOT(AA203=0)</f>
        <v>1</v>
      </c>
      <c r="AA203" s="55" t="str">
        <f t="shared" ca="1" si="31"/>
        <v>Ferienbeginn</v>
      </c>
      <c r="AE203" s="55" t="str">
        <f ca="1">INDIRECT(ADDRESS(ROW()+N_Offset_M,COLUMN(E203)+(N_SpracheAuswahl)*26,,,"Text"))</f>
        <v>Datum erster Ferientag</v>
      </c>
    </row>
    <row r="204" spans="1:43" x14ac:dyDescent="0.25">
      <c r="A204" s="906" t="str">
        <f t="shared" ca="1" si="32"/>
        <v>Ferienende</v>
      </c>
      <c r="B204" s="906"/>
      <c r="C204" s="906"/>
      <c r="D204" s="906"/>
      <c r="E204" s="92" t="str">
        <f t="shared" ca="1" si="33"/>
        <v>Datum letzter Ferientag</v>
      </c>
      <c r="F204" s="308"/>
      <c r="G204" s="308"/>
      <c r="H204" s="645"/>
      <c r="I204" s="185"/>
      <c r="O204" s="288">
        <f ca="1">1*NOT(AA204=0)</f>
        <v>1</v>
      </c>
      <c r="AA204" s="55" t="str">
        <f t="shared" ca="1" si="31"/>
        <v>Ferienende</v>
      </c>
      <c r="AE204" s="55" t="str">
        <f ca="1">INDIRECT(ADDRESS(ROW()+N_Offset_M,COLUMN(E204)+(N_SpracheAuswahl)*26,,,"Text"))</f>
        <v>Datum letzter Ferientag</v>
      </c>
    </row>
    <row r="205" spans="1:43" x14ac:dyDescent="0.25">
      <c r="A205" s="906" t="str">
        <f t="shared" si="32"/>
        <v/>
      </c>
      <c r="B205" s="906"/>
      <c r="C205" s="906"/>
      <c r="D205" s="906"/>
      <c r="E205" s="92" t="str">
        <f t="shared" si="33"/>
        <v/>
      </c>
      <c r="F205" s="57"/>
      <c r="G205" s="57"/>
      <c r="H205" s="57"/>
      <c r="I205" s="559"/>
      <c r="O205" s="288">
        <f>1*NOT(AA205=0)</f>
        <v>0</v>
      </c>
    </row>
    <row r="206" spans="1:43" x14ac:dyDescent="0.25">
      <c r="A206" s="906" t="str">
        <f t="shared" ca="1" si="32"/>
        <v>weiter in Zeile  211</v>
      </c>
      <c r="B206" s="906"/>
      <c r="C206" s="906"/>
      <c r="D206" s="906"/>
      <c r="E206" s="92" t="str">
        <f t="shared" si="33"/>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2"/>
        <v/>
      </c>
      <c r="B207" s="906"/>
      <c r="C207" s="906"/>
      <c r="D207" s="906"/>
      <c r="E207" s="92" t="str">
        <f t="shared" si="33"/>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2"/>
        <v/>
      </c>
      <c r="B208" s="906"/>
      <c r="C208" s="906"/>
      <c r="D208" s="906"/>
      <c r="E208" s="92" t="str">
        <f t="shared" si="33"/>
        <v/>
      </c>
      <c r="F208" s="57"/>
      <c r="G208" s="57"/>
      <c r="H208" s="57"/>
      <c r="I208" s="559"/>
      <c r="O208" s="288">
        <f>1*NOT(AA208=0)</f>
        <v>0</v>
      </c>
    </row>
    <row r="209" spans="1:36" x14ac:dyDescent="0.25">
      <c r="A209" s="906" t="str">
        <f t="shared" si="32"/>
        <v/>
      </c>
      <c r="B209" s="906"/>
      <c r="C209" s="906"/>
      <c r="D209" s="906"/>
      <c r="E209" s="92" t="str">
        <f t="shared" si="33"/>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2"/>
        <v/>
      </c>
      <c r="B210" s="906"/>
      <c r="C210" s="906"/>
      <c r="D210" s="906"/>
      <c r="E210" s="92" t="str">
        <f t="shared" si="33"/>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2"/>
        <v>Ferienguthaben Monatsende</v>
      </c>
      <c r="B211" s="906"/>
      <c r="C211" s="906"/>
      <c r="D211" s="906"/>
      <c r="E211" s="92" t="str">
        <f t="shared" ca="1" si="33"/>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4">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4"/>
        <v>Abwesenheit Beginn</v>
      </c>
      <c r="AE214" s="55" t="str">
        <f t="shared" ref="AE214:AE222" ca="1" si="35">INDIRECT(ADDRESS(ROW()+N_Offset_M,COLUMN(E214)+(N_SpracheAuswahl)*26,,,"Text"))</f>
        <v>Datum erster Tag</v>
      </c>
    </row>
    <row r="215" spans="1:36" x14ac:dyDescent="0.25">
      <c r="A215" s="906" t="str">
        <f t="shared" ref="A215:A221" ca="1" si="36">IF(O215=0,"",IF(O215=1,AA215,P215))</f>
        <v>Abwesenheit Ende</v>
      </c>
      <c r="B215" s="906"/>
      <c r="C215" s="906"/>
      <c r="D215" s="906"/>
      <c r="E215" s="92" t="str">
        <f t="shared" ref="E215:E222" ca="1" si="37">IF(O215&gt;0,AE215,"")</f>
        <v>Datum letzter Tag (in diesem Monat)</v>
      </c>
      <c r="F215" s="308"/>
      <c r="G215" s="57"/>
      <c r="H215" s="57"/>
      <c r="I215" s="185"/>
      <c r="O215" s="288">
        <f ca="1">1*NOT(AA215=0)</f>
        <v>1</v>
      </c>
      <c r="P215" s="56"/>
      <c r="AA215" s="55" t="str">
        <f t="shared" ca="1" si="34"/>
        <v>Abwesenheit Ende</v>
      </c>
      <c r="AE215" s="55" t="str">
        <f t="shared" ca="1" si="35"/>
        <v>Datum letzter Tag (in diesem Monat)</v>
      </c>
    </row>
    <row r="216" spans="1:36" ht="27" customHeight="1" x14ac:dyDescent="0.25">
      <c r="A216" s="908" t="str">
        <f t="shared" ca="1" si="36"/>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4"/>
        <v>Grund für Abwesenheit</v>
      </c>
      <c r="AE216" s="55" t="str">
        <f t="shared" ca="1" si="35"/>
        <v>Auswahl in Spalte G-I</v>
      </c>
    </row>
    <row r="217" spans="1:36" ht="25.2" customHeight="1" x14ac:dyDescent="0.25">
      <c r="A217" s="920" t="str">
        <f ca="1">IF(O217=0,"",IF(O217=1,AA217,IF(O217=2,AI217&amp;" "&amp;AJ217,P217)))</f>
        <v/>
      </c>
      <c r="B217" s="920"/>
      <c r="C217" s="920"/>
      <c r="D217" s="920"/>
      <c r="E217" s="650" t="str">
        <f t="shared" ca="1" si="37"/>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4"/>
        <v>Art des Unfalls</v>
      </c>
      <c r="AE217" s="55" t="str">
        <f t="shared" ca="1" si="35"/>
        <v>Auswahl in Spalte G-I</v>
      </c>
      <c r="AI217" s="55" t="str">
        <f t="shared" ref="AI217" ca="1" si="38">INDIRECT(ADDRESS(ROW()+N_Offset_M,COLUMN(I217)+(N_SpracheAuswahl)*26,,,"Text"))</f>
        <v>Siehe Hinweis in Zeile</v>
      </c>
      <c r="AJ217" s="55">
        <f>ROW(A$331)</f>
        <v>331</v>
      </c>
    </row>
    <row r="218" spans="1:36" ht="27" customHeight="1" x14ac:dyDescent="0.25">
      <c r="A218" s="882" t="str">
        <f t="shared" ca="1" si="36"/>
        <v/>
      </c>
      <c r="B218" s="882"/>
      <c r="C218" s="882"/>
      <c r="D218" s="882"/>
      <c r="E218" s="650" t="str">
        <f t="shared" ca="1" si="37"/>
        <v/>
      </c>
      <c r="F218" s="677"/>
      <c r="G218" s="910"/>
      <c r="H218" s="911"/>
      <c r="I218" s="912"/>
      <c r="O218" s="288">
        <f ca="1">IF(AND(I214&gt;0,OR(S216=5,S216=6)),1*NOT(AA218=0),0)</f>
        <v>0</v>
      </c>
      <c r="P218" s="56"/>
      <c r="AA218" s="55" t="str">
        <f t="shared" ca="1" si="34"/>
        <v>Ausgelöst durch früheres Ereignis?</v>
      </c>
      <c r="AE218" s="55" t="str">
        <f t="shared" ca="1" si="35"/>
        <v>Auswahl in Spalte G-I</v>
      </c>
    </row>
    <row r="219" spans="1:36" x14ac:dyDescent="0.25">
      <c r="A219" s="906" t="str">
        <f t="shared" si="36"/>
        <v/>
      </c>
      <c r="B219" s="906"/>
      <c r="C219" s="906"/>
      <c r="D219" s="906"/>
      <c r="E219" s="92" t="str">
        <f t="shared" si="37"/>
        <v/>
      </c>
      <c r="F219" s="308"/>
      <c r="G219" s="57"/>
      <c r="H219" s="57"/>
      <c r="I219" s="187"/>
      <c r="O219" s="288">
        <f>IF(I214&gt;0,1*NOT(AA219=0),0)</f>
        <v>0</v>
      </c>
      <c r="P219" s="56"/>
      <c r="AA219" s="55" t="str">
        <f t="shared" ca="1" si="34"/>
        <v>Arbeitsunfähigkeit, Ausmass</v>
      </c>
      <c r="AE219" s="55" t="str">
        <f t="shared" ca="1" si="35"/>
        <v>% gemäss Arztzeugnis</v>
      </c>
    </row>
    <row r="220" spans="1:36" ht="27" customHeight="1" x14ac:dyDescent="0.25">
      <c r="A220" s="862" t="str">
        <f t="shared" si="36"/>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4"/>
        <v>Rückerstattung KTG durch Versicherung ab</v>
      </c>
      <c r="AE220" s="55" t="str">
        <f t="shared" ca="1" si="35"/>
        <v>Datum erster Tag</v>
      </c>
      <c r="AG220" s="55" t="str">
        <f ca="1">INDIRECT(ADDRESS(ROW()+N_Offset_M,COLUMN(G220)+(N_SpracheAuswahl)*26,,,"Text"))</f>
        <v>(Wartefrist</v>
      </c>
    </row>
    <row r="221" spans="1:36" ht="27" customHeight="1" x14ac:dyDescent="0.25">
      <c r="A221" s="862" t="str">
        <f t="shared" si="36"/>
        <v/>
      </c>
      <c r="B221" s="862"/>
      <c r="C221" s="862"/>
      <c r="D221" s="862"/>
      <c r="E221" s="916" t="str">
        <f t="shared" si="37"/>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4"/>
        <v>KTG-Versicherung läuft aus am (=Ende Lohnfortzahlung)</v>
      </c>
      <c r="AE221" s="55" t="str">
        <f t="shared" ca="1" si="35"/>
        <v>Datum letzter Tag (offen lassen wenn nicht in diesem Monat)</v>
      </c>
      <c r="AG221" s="55" t="str">
        <f ca="1">INDIRECT(ADDRESS(ROW()+N_Offset_M,COLUMN(G221)+(N_SpracheAuswahl)*26,,,"Text"))</f>
        <v>(Dauer</v>
      </c>
    </row>
    <row r="222" spans="1:36" x14ac:dyDescent="0.25">
      <c r="A222" s="862" t="str">
        <f t="shared" ref="A222" si="39">IF(O222=0,"",IF(O222=1,AA222,P222))</f>
        <v/>
      </c>
      <c r="B222" s="862"/>
      <c r="C222" s="862"/>
      <c r="D222" s="862"/>
      <c r="E222" s="73" t="str">
        <f t="shared" si="37"/>
        <v/>
      </c>
      <c r="F222" s="823"/>
      <c r="G222" s="148"/>
      <c r="H222" s="148"/>
      <c r="I222" s="824"/>
      <c r="O222" s="288">
        <f>IF(I214&gt;0,1*NOT(AA222=0),0)</f>
        <v>0</v>
      </c>
      <c r="P222" s="56"/>
      <c r="AA222" s="55" t="str">
        <f t="shared" ca="1" si="34"/>
        <v>Nächte</v>
      </c>
      <c r="AE222" s="55" t="str">
        <f t="shared" ca="1" si="35"/>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0">INDIRECT(ADDRESS(ROW()+N_Offset_M,COLUMN(A224)+(N_SpracheAuswahl)*26,,,"Text"))</f>
        <v>Abwesenheit Beginn</v>
      </c>
      <c r="AE224" s="55" t="str">
        <f t="shared" ref="AE224:AE231" ca="1" si="41">INDIRECT(ADDRESS(ROW()+N_Offset_M,COLUMN(E224)+(N_SpracheAuswahl)*26,,,"Text"))</f>
        <v>Datum erster Tag</v>
      </c>
    </row>
    <row r="225" spans="1:36" x14ac:dyDescent="0.25">
      <c r="A225" s="906" t="str">
        <f t="shared" ref="A225:A231" si="42">IF(O225=0,"",IF(O225=1,AA225,P225))</f>
        <v/>
      </c>
      <c r="B225" s="906"/>
      <c r="C225" s="906"/>
      <c r="D225" s="906"/>
      <c r="E225" s="92" t="str">
        <f t="shared" ref="E225:E231" si="43">IF(O225&gt;0,AE225,"")</f>
        <v/>
      </c>
      <c r="F225" s="308"/>
      <c r="G225" s="57"/>
      <c r="H225" s="57"/>
      <c r="I225" s="185"/>
      <c r="O225" s="288">
        <f>IF(AND(I$214&gt;0,I$215&gt;0),1*NOT(AA225=0),0)</f>
        <v>0</v>
      </c>
      <c r="P225" s="56"/>
      <c r="AA225" s="55" t="str">
        <f t="shared" ca="1" si="40"/>
        <v>Abwesenheit Ende</v>
      </c>
      <c r="AE225" s="55" t="str">
        <f t="shared" ca="1" si="41"/>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0"/>
        <v>Grund für Abwesenheit</v>
      </c>
      <c r="AE226" s="55" t="str">
        <f t="shared" ca="1" si="41"/>
        <v>Auswahl in Spalte G-I</v>
      </c>
    </row>
    <row r="227" spans="1:36" ht="25.2" customHeight="1" x14ac:dyDescent="0.25">
      <c r="A227" s="914" t="str">
        <f ca="1">IF(O227=0,"",IF(O227=1,AA227,IF(O227=2,AI227&amp;" "&amp;AJ227,P227)))</f>
        <v/>
      </c>
      <c r="B227" s="914"/>
      <c r="C227" s="914"/>
      <c r="D227" s="914"/>
      <c r="E227" s="650" t="str">
        <f t="shared" ca="1" si="43"/>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0"/>
        <v>Art des Unfalls</v>
      </c>
      <c r="AE227" s="55" t="str">
        <f t="shared" ca="1" si="41"/>
        <v>Auswahl in Spalte G-I</v>
      </c>
      <c r="AI227" s="55" t="str">
        <f t="shared" ref="AI227" ca="1" si="44">INDIRECT(ADDRESS(ROW()+N_Offset_M,COLUMN(I227)+(N_SpracheAuswahl)*26,,,"Text"))</f>
        <v>Siehe Hinweis in Zeile</v>
      </c>
      <c r="AJ227" s="55">
        <f>ROW(A$331)</f>
        <v>331</v>
      </c>
    </row>
    <row r="228" spans="1:36" ht="27" customHeight="1" x14ac:dyDescent="0.25">
      <c r="A228" s="882" t="str">
        <f t="shared" ca="1" si="42"/>
        <v/>
      </c>
      <c r="B228" s="882"/>
      <c r="C228" s="882"/>
      <c r="D228" s="882"/>
      <c r="E228" s="650" t="str">
        <f t="shared" ca="1" si="43"/>
        <v/>
      </c>
      <c r="F228" s="677"/>
      <c r="G228" s="910"/>
      <c r="H228" s="911"/>
      <c r="I228" s="912"/>
      <c r="O228" s="288">
        <f ca="1">IF(AND(I224&gt;0,OR(S226=5,S226=6)),1*NOT(AA228=0),0)</f>
        <v>0</v>
      </c>
      <c r="P228" s="56"/>
      <c r="AA228" s="55" t="str">
        <f t="shared" ca="1" si="40"/>
        <v>Ausgelöst durch früheres Ereignis?</v>
      </c>
      <c r="AE228" s="55" t="str">
        <f t="shared" ca="1" si="41"/>
        <v>Auswahl in Spalte G-I</v>
      </c>
    </row>
    <row r="229" spans="1:36" x14ac:dyDescent="0.25">
      <c r="A229" s="906" t="str">
        <f t="shared" si="42"/>
        <v/>
      </c>
      <c r="B229" s="906"/>
      <c r="C229" s="906"/>
      <c r="D229" s="906"/>
      <c r="E229" s="92" t="str">
        <f t="shared" si="43"/>
        <v/>
      </c>
      <c r="F229" s="308"/>
      <c r="G229" s="57"/>
      <c r="H229" s="57"/>
      <c r="I229" s="187"/>
      <c r="O229" s="288">
        <f>IF(I224&gt;0,1*NOT(AA229=0),0)</f>
        <v>0</v>
      </c>
      <c r="P229" s="56"/>
      <c r="AA229" s="55" t="str">
        <f t="shared" ca="1" si="40"/>
        <v>Arbeitsunfähigkeit, Ausmass</v>
      </c>
      <c r="AE229" s="55" t="str">
        <f t="shared" ca="1" si="41"/>
        <v>% gemäss Arztzeugnis</v>
      </c>
    </row>
    <row r="230" spans="1:36" ht="27" customHeight="1" x14ac:dyDescent="0.25">
      <c r="A230" s="862" t="str">
        <f t="shared" si="42"/>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0"/>
        <v>Rückerstattung KTG durch Versicherung ab</v>
      </c>
      <c r="AE230" s="55" t="str">
        <f t="shared" ca="1" si="41"/>
        <v>Datum erster Tag</v>
      </c>
      <c r="AG230" s="55" t="str">
        <f ca="1">INDIRECT(ADDRESS(ROW()+N_Offset_M,COLUMN(G230)+(N_SpracheAuswahl)*26,,,"Text"))</f>
        <v>(Wartefrist</v>
      </c>
    </row>
    <row r="231" spans="1:36" ht="27" customHeight="1" x14ac:dyDescent="0.25">
      <c r="A231" s="862" t="str">
        <f t="shared" si="42"/>
        <v/>
      </c>
      <c r="B231" s="862"/>
      <c r="C231" s="862"/>
      <c r="D231" s="862"/>
      <c r="E231" s="916" t="str">
        <f t="shared" si="43"/>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0"/>
        <v>KTG-Versicherung läuft aus am (=Ende Lohnfortzahlung)</v>
      </c>
      <c r="AE231" s="55" t="str">
        <f t="shared" ca="1" si="41"/>
        <v>Datum letzter Tag (offen lassen wenn nicht in diesem Monat)</v>
      </c>
      <c r="AG231" s="55" t="str">
        <f ca="1">INDIRECT(ADDRESS(ROW()+N_Offset_M,COLUMN(G231)+(N_SpracheAuswahl)*26,,,"Text"))</f>
        <v>(Dauer</v>
      </c>
    </row>
    <row r="232" spans="1:36" ht="13.2" customHeight="1" x14ac:dyDescent="0.25">
      <c r="A232" s="862" t="str">
        <f t="shared" ref="A232" si="45">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6">INDIRECT(ADDRESS(ROW()+N_Offset_M,COLUMN(A234)+(N_SpracheAuswahl)*26,,,"Text"))</f>
        <v>Abwesenheit Beginn</v>
      </c>
      <c r="AE234" s="55" t="str">
        <f t="shared" ref="AE234:AE242" ca="1" si="47">INDIRECT(ADDRESS(ROW()+N_Offset_M,COLUMN(E234)+(N_SpracheAuswahl)*26,,,"Text"))</f>
        <v>Datum erster Tag</v>
      </c>
    </row>
    <row r="235" spans="1:36" x14ac:dyDescent="0.25">
      <c r="A235" s="906" t="str">
        <f t="shared" ref="A235:A242" si="48">IF(O235=0,"",IF(O235=1,AA235,P235))</f>
        <v/>
      </c>
      <c r="B235" s="906"/>
      <c r="C235" s="906"/>
      <c r="D235" s="906"/>
      <c r="E235" s="92" t="str">
        <f t="shared" ref="E235:E242" si="49">IF(O235&gt;0,AE235,"")</f>
        <v/>
      </c>
      <c r="F235" s="308"/>
      <c r="G235" s="57"/>
      <c r="H235" s="57"/>
      <c r="I235" s="185"/>
      <c r="O235" s="288">
        <f>IF(AND(I$224&gt;0,I$225&gt;0),1*NOT(AA235=0),0)</f>
        <v>0</v>
      </c>
      <c r="P235" s="56"/>
      <c r="AA235" s="55" t="str">
        <f t="shared" ca="1" si="46"/>
        <v>Abwesenheit Ende</v>
      </c>
      <c r="AE235" s="55" t="str">
        <f t="shared" ca="1" si="47"/>
        <v>Datum letzter Tag (in diesem Monat)</v>
      </c>
    </row>
    <row r="236" spans="1:36" ht="27" customHeight="1" x14ac:dyDescent="0.25">
      <c r="A236" s="908" t="str">
        <f t="shared" si="48"/>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6"/>
        <v>Grund für Abwesenheit</v>
      </c>
      <c r="AE236" s="55" t="str">
        <f t="shared" ca="1" si="47"/>
        <v>Auswahl in Spalte G-I</v>
      </c>
    </row>
    <row r="237" spans="1:36" ht="25.2" customHeight="1" x14ac:dyDescent="0.25">
      <c r="A237" s="920" t="str">
        <f ca="1">IF(O237=0,"",IF(O237=1,AA237,IF(O237=2,AI237&amp;" "&amp;AJ237,P237)))</f>
        <v/>
      </c>
      <c r="B237" s="920"/>
      <c r="C237" s="920"/>
      <c r="D237" s="920"/>
      <c r="E237" s="650" t="str">
        <f t="shared" ca="1" si="49"/>
        <v/>
      </c>
      <c r="F237" s="651"/>
      <c r="G237" s="921"/>
      <c r="H237" s="922"/>
      <c r="I237" s="923"/>
      <c r="L237" s="87"/>
      <c r="O237" s="288">
        <f ca="1">IF(AND(I234&gt;0,S236=6),1*NOT(AA237=0),IF(AND(I234&gt;0,S236=9),2*NOT(AA237=0),0))</f>
        <v>0</v>
      </c>
      <c r="P237" s="56"/>
      <c r="S237" s="56">
        <f ca="1">IF(ISERROR(VLOOKUP(G237,A_ArtUnfall_Auswahl,2,0)),0,VLOOKUP(G237,A_ArtUnfall_Auswahl,2,0)-1)*(N_Pensum&lt;8/N_WochenAZ_100Prozent)</f>
        <v>2</v>
      </c>
      <c r="AA237" s="55" t="str">
        <f t="shared" ca="1" si="46"/>
        <v>Art des Unfalls</v>
      </c>
      <c r="AE237" s="55" t="str">
        <f t="shared" ca="1" si="47"/>
        <v>Auswahl in Spalte G-I</v>
      </c>
      <c r="AI237" s="55" t="str">
        <f t="shared" ref="AI237" ca="1" si="50">INDIRECT(ADDRESS(ROW()+N_Offset_M,COLUMN(I237)+(N_SpracheAuswahl)*26,,,"Text"))</f>
        <v>Siehe Hinweis in Zeile</v>
      </c>
      <c r="AJ237" s="55">
        <f>ROW(A$331)</f>
        <v>331</v>
      </c>
    </row>
    <row r="238" spans="1:36" ht="27" customHeight="1" x14ac:dyDescent="0.25">
      <c r="A238" s="882" t="str">
        <f t="shared" ca="1" si="48"/>
        <v/>
      </c>
      <c r="B238" s="882"/>
      <c r="C238" s="882"/>
      <c r="D238" s="882"/>
      <c r="E238" s="650" t="str">
        <f t="shared" ca="1" si="49"/>
        <v/>
      </c>
      <c r="F238" s="677"/>
      <c r="G238" s="910"/>
      <c r="H238" s="911"/>
      <c r="I238" s="912"/>
      <c r="O238" s="288">
        <f ca="1">IF(AND(I234&gt;0,OR(S236=5,S236=6)),1*NOT(AA238=0),0)</f>
        <v>0</v>
      </c>
      <c r="P238" s="56"/>
      <c r="AA238" s="55" t="str">
        <f t="shared" ca="1" si="46"/>
        <v>Ausgelöst durch früheres Ereignis?</v>
      </c>
      <c r="AE238" s="55" t="str">
        <f t="shared" ca="1" si="47"/>
        <v>Auswahl in Spalte G-I</v>
      </c>
    </row>
    <row r="239" spans="1:36" x14ac:dyDescent="0.25">
      <c r="A239" s="906" t="str">
        <f t="shared" si="48"/>
        <v/>
      </c>
      <c r="B239" s="906"/>
      <c r="C239" s="906"/>
      <c r="D239" s="906"/>
      <c r="E239" s="92" t="str">
        <f t="shared" si="49"/>
        <v/>
      </c>
      <c r="F239" s="308"/>
      <c r="G239" s="57"/>
      <c r="H239" s="57"/>
      <c r="I239" s="187"/>
      <c r="O239" s="288">
        <f>IF(I234&gt;0,1*NOT(AA239=0),0)</f>
        <v>0</v>
      </c>
      <c r="P239" s="56"/>
      <c r="AA239" s="55" t="str">
        <f t="shared" ca="1" si="46"/>
        <v>Arbeitsunfähigkeit, Ausmass</v>
      </c>
      <c r="AE239" s="55" t="str">
        <f t="shared" ca="1" si="47"/>
        <v>% gemäss Arztzeugnis</v>
      </c>
    </row>
    <row r="240" spans="1:36" ht="27" customHeight="1" x14ac:dyDescent="0.25">
      <c r="A240" s="862" t="str">
        <f t="shared" si="48"/>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6"/>
        <v>Rückerstattung KTG durch Versicherung ab</v>
      </c>
      <c r="AE240" s="55" t="str">
        <f t="shared" ca="1" si="47"/>
        <v>Datum erster Tag</v>
      </c>
      <c r="AG240" s="55" t="str">
        <f ca="1">INDIRECT(ADDRESS(ROW()+N_Offset_M,COLUMN(G240)+(N_SpracheAuswahl)*26,,,"Text"))</f>
        <v>(Wartefrist</v>
      </c>
    </row>
    <row r="241" spans="1:108" ht="27" customHeight="1" x14ac:dyDescent="0.25">
      <c r="A241" s="862" t="str">
        <f t="shared" si="48"/>
        <v/>
      </c>
      <c r="B241" s="862"/>
      <c r="C241" s="862"/>
      <c r="D241" s="862"/>
      <c r="E241" s="916" t="str">
        <f t="shared" si="49"/>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6"/>
        <v>KTG-Versicherung läuft aus am (=Ende Lohnfortzahlung)</v>
      </c>
      <c r="AE241" s="55" t="str">
        <f t="shared" ca="1" si="47"/>
        <v>Datum letzter Tag (offen lassen wenn nicht in diesem Monat)</v>
      </c>
      <c r="AG241" s="55" t="str">
        <f ca="1">INDIRECT(ADDRESS(ROW()+N_Offset_M,COLUMN(G241)+(N_SpracheAuswahl)*26,,,"Text"))</f>
        <v>(Dauer</v>
      </c>
    </row>
    <row r="242" spans="1:108" x14ac:dyDescent="0.25">
      <c r="A242" s="964" t="str">
        <f t="shared" si="48"/>
        <v/>
      </c>
      <c r="B242" s="964"/>
      <c r="C242" s="964"/>
      <c r="D242" s="964"/>
      <c r="E242" s="822" t="str">
        <f t="shared" si="49"/>
        <v/>
      </c>
      <c r="F242" s="823"/>
      <c r="G242" s="730"/>
      <c r="H242" s="825"/>
      <c r="I242" s="820"/>
      <c r="O242" s="288">
        <f>IF(I234&gt;0,1*NOT(AA242=0),0)</f>
        <v>0</v>
      </c>
      <c r="P242" s="56"/>
      <c r="AA242" s="84" t="str">
        <f t="shared" ca="1" si="46"/>
        <v>Nächte</v>
      </c>
      <c r="AE242" s="55" t="str">
        <f t="shared" ca="1" si="47"/>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6"/>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1">1*NOT(AA244=0)</f>
        <v>1</v>
      </c>
      <c r="P244" s="56"/>
      <c r="AA244" s="55" t="str">
        <f t="shared" ref="AA244:AA248" ca="1" si="52">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1"/>
        <v>1</v>
      </c>
      <c r="P245" s="56"/>
      <c r="AA245" s="55" t="str">
        <f t="shared" ca="1" si="52"/>
        <v>(behinderte Person kann Leistung nicht entgegennehmen) (Art. 324 OR)</v>
      </c>
    </row>
    <row r="246" spans="1:108" x14ac:dyDescent="0.25">
      <c r="A246" s="909" t="str">
        <f t="shared" ref="A246:A254" ca="1" si="53">IF(O246=0,"",IF(O246=1,AA246,P246))</f>
        <v>Verhinderung, Beginn</v>
      </c>
      <c r="B246" s="909"/>
      <c r="C246" s="909"/>
      <c r="D246" s="909"/>
      <c r="E246" s="92" t="str">
        <f t="shared" ref="E246:E254" ca="1" si="54">IF(O246&gt;0,AE246,"")</f>
        <v>Datum erster Tag</v>
      </c>
      <c r="F246" s="680"/>
      <c r="G246" s="680"/>
      <c r="H246" s="681"/>
      <c r="I246" s="185"/>
      <c r="J246" s="63"/>
      <c r="K246" s="63"/>
      <c r="L246" s="63"/>
      <c r="O246" s="288">
        <f t="shared" ca="1" si="51"/>
        <v>1</v>
      </c>
      <c r="P246" s="56"/>
      <c r="AA246" s="55" t="str">
        <f t="shared" ca="1" si="52"/>
        <v>Verhinderung, Beginn</v>
      </c>
      <c r="AE246" s="55" t="str">
        <f ca="1">INDIRECT(ADDRESS(ROW()+N_Offset_M,COLUMN(E246)+(N_SpracheAuswahl)*26,,,"Text"))</f>
        <v>Datum erster Tag</v>
      </c>
    </row>
    <row r="247" spans="1:108" x14ac:dyDescent="0.25">
      <c r="A247" s="909" t="str">
        <f t="shared" ca="1" si="53"/>
        <v>Verhinderung Ende</v>
      </c>
      <c r="B247" s="909"/>
      <c r="C247" s="909"/>
      <c r="D247" s="909"/>
      <c r="E247" s="92" t="str">
        <f t="shared" ca="1" si="54"/>
        <v>Datum letzter Tag</v>
      </c>
      <c r="F247" s="680"/>
      <c r="G247" s="680"/>
      <c r="H247" s="681"/>
      <c r="I247" s="185"/>
      <c r="J247" s="63"/>
      <c r="K247" s="63"/>
      <c r="L247" s="63"/>
      <c r="O247" s="288">
        <f t="shared" ca="1" si="51"/>
        <v>1</v>
      </c>
      <c r="P247" s="56"/>
      <c r="AA247" s="55" t="str">
        <f t="shared" ca="1" si="52"/>
        <v>Verhinderung Ende</v>
      </c>
      <c r="AE247" s="55" t="str">
        <f ca="1">INDIRECT(ADDRESS(ROW()+N_Offset_M,COLUMN(E247)+(N_SpracheAuswahl)*26,,,"Text"))</f>
        <v>Datum letzter Tag</v>
      </c>
    </row>
    <row r="248" spans="1:108" x14ac:dyDescent="0.25">
      <c r="A248" s="909" t="str">
        <f t="shared" ca="1" si="53"/>
        <v>Nächte</v>
      </c>
      <c r="B248" s="909"/>
      <c r="C248" s="909"/>
      <c r="D248" s="909"/>
      <c r="E248" s="92" t="str">
        <f t="shared" ca="1" si="54"/>
        <v>Anzahl</v>
      </c>
      <c r="F248" s="308"/>
      <c r="G248" s="308"/>
      <c r="H248" s="308"/>
      <c r="I248" s="820"/>
      <c r="J248" s="63"/>
      <c r="K248" s="63"/>
      <c r="L248" s="63"/>
      <c r="O248" s="288">
        <f t="shared" ca="1" si="51"/>
        <v>1</v>
      </c>
      <c r="P248" s="56"/>
      <c r="AA248" s="55" t="str">
        <f t="shared" ca="1" si="52"/>
        <v>Nächte</v>
      </c>
      <c r="AE248" s="55" t="str">
        <f ca="1">INDIRECT(ADDRESS(ROW()+N_Offset_M,COLUMN(E248)+(N_SpracheAuswahl)*26,,,"Text"))</f>
        <v>Anzahl</v>
      </c>
    </row>
    <row r="249" spans="1:108" x14ac:dyDescent="0.25">
      <c r="A249" s="909" t="str">
        <f t="shared" si="53"/>
        <v/>
      </c>
      <c r="B249" s="909"/>
      <c r="C249" s="909"/>
      <c r="D249" s="909"/>
      <c r="E249" s="92" t="str">
        <f t="shared" si="54"/>
        <v/>
      </c>
      <c r="F249" s="680"/>
      <c r="G249" s="680"/>
      <c r="H249" s="681"/>
      <c r="I249" s="821"/>
      <c r="J249" s="63"/>
      <c r="K249" s="63"/>
      <c r="L249" s="63"/>
      <c r="O249" s="288"/>
      <c r="P249" s="382"/>
      <c r="DB249" s="87"/>
      <c r="DC249" s="87"/>
      <c r="DD249" s="87"/>
    </row>
    <row r="250" spans="1:108" x14ac:dyDescent="0.25">
      <c r="A250" s="909" t="str">
        <f t="shared" si="53"/>
        <v/>
      </c>
      <c r="B250" s="909"/>
      <c r="C250" s="909"/>
      <c r="D250" s="909"/>
      <c r="E250" s="92" t="str">
        <f t="shared" si="54"/>
        <v/>
      </c>
      <c r="F250" s="680"/>
      <c r="G250" s="680"/>
      <c r="H250" s="681"/>
      <c r="I250" s="185"/>
      <c r="J250" s="63"/>
      <c r="K250" s="63"/>
      <c r="L250" s="63"/>
      <c r="O250" s="288"/>
      <c r="P250" s="56"/>
      <c r="BN250" s="87"/>
    </row>
    <row r="251" spans="1:108" x14ac:dyDescent="0.25">
      <c r="A251" s="909" t="str">
        <f t="shared" si="53"/>
        <v/>
      </c>
      <c r="B251" s="909"/>
      <c r="C251" s="909"/>
      <c r="D251" s="909"/>
      <c r="E251" s="679" t="str">
        <f t="shared" si="54"/>
        <v/>
      </c>
      <c r="F251" s="308"/>
      <c r="G251" s="308"/>
      <c r="H251" s="308"/>
      <c r="I251" s="69"/>
      <c r="J251" s="63"/>
      <c r="K251" s="63"/>
      <c r="L251" s="63"/>
      <c r="O251" s="288"/>
      <c r="P251" s="56"/>
    </row>
    <row r="252" spans="1:108" x14ac:dyDescent="0.25">
      <c r="A252" s="909" t="str">
        <f t="shared" si="53"/>
        <v/>
      </c>
      <c r="B252" s="909"/>
      <c r="C252" s="909"/>
      <c r="D252" s="909"/>
      <c r="E252" s="92" t="str">
        <f t="shared" si="54"/>
        <v/>
      </c>
      <c r="F252" s="680"/>
      <c r="G252" s="680"/>
      <c r="H252" s="681"/>
      <c r="I252" s="185"/>
      <c r="O252" s="288"/>
      <c r="P252" s="382"/>
    </row>
    <row r="253" spans="1:108" x14ac:dyDescent="0.25">
      <c r="A253" s="909" t="str">
        <f t="shared" si="53"/>
        <v/>
      </c>
      <c r="B253" s="909"/>
      <c r="C253" s="909"/>
      <c r="D253" s="909"/>
      <c r="E253" s="92" t="str">
        <f t="shared" si="54"/>
        <v/>
      </c>
      <c r="F253" s="680"/>
      <c r="G253" s="680"/>
      <c r="H253" s="681"/>
      <c r="I253" s="185"/>
      <c r="O253" s="288"/>
      <c r="P253" s="56"/>
    </row>
    <row r="254" spans="1:108" x14ac:dyDescent="0.25">
      <c r="A254" s="55" t="str">
        <f t="shared" si="53"/>
        <v/>
      </c>
      <c r="E254" s="55" t="str">
        <f t="shared" si="54"/>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45352</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5">INDIRECT(ADDRESS(ROW()+N_Offset_M,COLUMN()+(N_SpracheAuswahl)*26,,,"Text"))</f>
        <v>geleistete Stunden mit Qualifikation B</v>
      </c>
      <c r="D262" s="459" t="str">
        <f t="shared" ca="1" si="55"/>
        <v>geleistete Nächte (jeweils 1 eintragen)</v>
      </c>
      <c r="E262" s="897" t="str">
        <f t="shared" ca="1" si="55"/>
        <v>Bemerkungen</v>
      </c>
      <c r="F262" s="898"/>
      <c r="G262" s="668" t="str">
        <f t="shared" ca="1" si="55"/>
        <v>angerechnete Stunden mit Lohnfortzahlung</v>
      </c>
      <c r="H262" s="668" t="str">
        <f t="shared" ca="1" si="55"/>
        <v>angerechnete Stunden ohne Lohnfortzahlung</v>
      </c>
      <c r="I262" s="668" t="str">
        <f t="shared" ca="1" si="55"/>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02 '!AK295</f>
        <v>0</v>
      </c>
      <c r="AL263" s="137"/>
      <c r="AN263" s="137">
        <f>IF(N_Kündigungsfrist_Beginn=AH264,0,1)</f>
        <v>1</v>
      </c>
      <c r="AO263" s="55"/>
      <c r="AP263" s="233">
        <f ca="1">' 02 '!AP295</f>
        <v>0</v>
      </c>
      <c r="AR263" s="234">
        <f ca="1">' 02 '!AR295</f>
        <v>0</v>
      </c>
      <c r="AT263" s="355">
        <f ca="1">' 02 '!AT295+N318</f>
        <v>28</v>
      </c>
      <c r="AV263" s="246">
        <f ca="1">' 02 '!AV295</f>
        <v>0</v>
      </c>
      <c r="AW263" s="245"/>
      <c r="AY263" s="239"/>
      <c r="BA263" s="222"/>
      <c r="BB263" s="249">
        <f ca="1">' 02 '!BB295</f>
        <v>0</v>
      </c>
      <c r="BC263" s="245"/>
      <c r="BE263" s="252">
        <f ca="1">' 02 '!BE295</f>
        <v>0</v>
      </c>
      <c r="BG263" s="252">
        <f ca="1">' 02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45352</v>
      </c>
      <c r="B264" s="154"/>
      <c r="C264" s="154"/>
      <c r="D264" s="154"/>
      <c r="E264" s="875" t="str">
        <f t="shared" ref="E264:E294" ca="1" si="56">IF(AE264=0,"",OFFSET(A_ArbeitsunfähigkeitGrund_Auswahl,(N_Sprache-1)*10+(AE264-1),0,1,1))</f>
        <v/>
      </c>
      <c r="F264" s="876"/>
      <c r="G264" s="667">
        <f ca="1">MAX(0,(N_ArbeitsstundenSollProKT*BU264-BV264)*OFFSET(BI264,0,AE264,1,1))</f>
        <v>0</v>
      </c>
      <c r="H264" s="667">
        <f t="shared" ref="H264:H294" ca="1" si="57">MAX(0,(N_ArbeitsstundenSollProKT*BU264-BV264)*(AE264&gt;2)*NOT(OFFSET(BI264,0,AE264,1,1)))</f>
        <v>0</v>
      </c>
      <c r="I264" s="667">
        <f t="shared" ref="I264:I294" ca="1" si="58">G264*OFFSET(CO264,0,AE264,1,1)</f>
        <v>0</v>
      </c>
      <c r="P264" s="151">
        <f t="shared" ref="P264:P294" si="59">IF(A264&lt;DATE(YEAR(A264),MONTH(N_Anstellung_Beginn),DAY(N_Anstellung_Beginn)),(YEAR(A264)-YEAR(N_Anstellung_Beginn)),(YEAR(A264)-YEAR(N_Anstellung_Beginn))+1)</f>
        <v>125</v>
      </c>
      <c r="R264" s="55">
        <f t="shared" ref="R264:R294" si="60">IF(A264&gt;=(P$1+P$2),1,0)</f>
        <v>0</v>
      </c>
      <c r="S264" s="55">
        <f t="shared" ref="S264:S294" si="61">1-R264</f>
        <v>1</v>
      </c>
      <c r="U264" s="226">
        <f t="shared" ref="U264:U294" si="62">(R264=0)*IF(A264&lt;N_Anstellung_Beginn,1,0)</f>
        <v>0</v>
      </c>
      <c r="V264" s="137">
        <f t="shared" ref="V264:V294" ca="1" si="63">(R264=0)*IF(A264&gt;N_Anstellung_Ende,1,0)</f>
        <v>0</v>
      </c>
      <c r="W264" s="137">
        <f t="shared" ref="W264:W294" si="64">(R264=0)*IF(OR(AND(A264&gt;=$I$203,A264&lt;=$I$204),AND(A264&gt;=$I$206,A264&lt;=$I$207),AND(A264&gt;=$I$209,A264&lt;=$I$210)),1,0)</f>
        <v>0</v>
      </c>
      <c r="X264" s="137">
        <f t="shared" ref="X264:X294" si="65">(R264=0)*IF(OR(AND(A264&gt;=$I$246,A264&lt;=$I$247),AND(A264&gt;=$I$249,A264&lt;=$I$250),AND(A264&gt;=$I$252,A264&lt;=$I$253)),1,0)</f>
        <v>0</v>
      </c>
      <c r="Y264" s="137">
        <f t="shared" ref="Y264:Y294" ca="1" si="66">(R264=0)*IF(OR(AND($A264&gt;=$I$214,$A264&lt;=$I$215,S$216=5),AND($A264&gt;=$I$224,$A264&lt;=$I$225,S$226=5),AND($A264&gt;=$I$234,$A264&lt;=$I$235,S$236=5)),1,0)</f>
        <v>0</v>
      </c>
      <c r="Z264" s="137">
        <f t="shared" ref="Z264:Z294" ca="1" si="67">(R264=0)*IF(OR(AND($A264&gt;=$I$214,$A264&lt;=$I$215,(S$216=6)*NOT(S$217)),AND($A264&gt;=$I$224,$A264&lt;=$I$225,(S$226=6)*NOT(S$227)),AND($A264&gt;=$I$234,$A264&lt;=$I$235,(S$236=6)*NOT(S$237))),1,0)</f>
        <v>0</v>
      </c>
      <c r="AA264" s="137">
        <f t="shared" ref="AA264:AA294" ca="1" si="68">(R264=0)*IF(OR(AND($A264&gt;=$I$214,$A264&lt;=$I$215,S$216=7),AND($A264&gt;=$I$224,$A264&lt;=$I$225,S$226=7),AND($A264&gt;=$I$234,$A264&lt;=$I$235,S$236=7)),1,0)</f>
        <v>0</v>
      </c>
      <c r="AB264" s="137">
        <f t="shared" ref="AB264:AB294" ca="1" si="69">(R264=0)*IF(OR(AND($A264&gt;=$I$214,$A264&lt;=$I$215,S$216=8),AND($A264&gt;=$I$224,$A264&lt;=$I$225,S$226=8),AND($A264&gt;=$I$234,$A264&lt;=$I$235,S$236=8)),1,0)</f>
        <v>0</v>
      </c>
      <c r="AC264" s="137">
        <f t="shared" ref="AC264:AC294" ca="1" si="70">(R264=0)*IF(OR(AND($A264&gt;=$I$214,$A264&lt;=$I$215,S$216=9),AND($A264&gt;=$I$224,$A264&lt;=$I$225,S$226=9),AND($A264&gt;=$I$234,$A264&lt;=$I$235,S$236=9)),1,0)</f>
        <v>0</v>
      </c>
      <c r="AD264" s="137">
        <f t="shared" ref="AD264:AD294" ca="1" si="71">(R264=0)*IF(OR(AND($A264&gt;=$I$214,$A264&lt;=$I$215,(S$216=6)*S$217),AND($A264&gt;=$I$224,$A264&lt;=$I$225,(S$226=6)*S$227),AND($A264&gt;=$I$234,$A264&lt;=$I$235,(S$236=6)*S$237)),1,0)</f>
        <v>0</v>
      </c>
      <c r="AE264" s="223">
        <f t="shared" ref="AE264:AE294" ca="1" si="72">IF(SUM(U264:V264)&gt;0,(U264*U$260+V264*V$260),IF(W264&gt;0,W264*W$260,IF(SUM(Y264:AD264)&gt;0,(Y264*Y$260+Z264*Z$260+AA264*AA$260+AB264*AB$260+AC264*AC$260+AD264*AD$260),IF(X264&gt;0,X264*X$260,0))))</f>
        <v>0</v>
      </c>
      <c r="AF264" s="229" t="str">
        <f t="shared" ref="AF264:AF294" ca="1" si="73">IF(AE264=0,"",OFFSET(A_ArbeitsunfähigkeitGrund_Auswahl,(N_Sprache-1)*10+(AE264-1),0,1,1))</f>
        <v/>
      </c>
      <c r="AH264" s="235">
        <f t="shared" ref="AH264:AH294" si="74">A264</f>
        <v>45352</v>
      </c>
      <c r="AI264" s="137">
        <f t="shared" ref="AI264:AI294" ca="1" si="75">IF((Y264+Z264)&gt;0,1,0)</f>
        <v>0</v>
      </c>
      <c r="AJ264" s="137">
        <f t="shared" ref="AJ264:AJ294" si="76">IF(AH264&lt;DATE(YEAR(N_Anstellung_Beginn),MONTH(N_Anstellung_Beginn)+N_Probezeit_Dauer_Mt,DAY(N_Anstellung_Beginn)),1,0)</f>
        <v>0</v>
      </c>
      <c r="AK264" s="137">
        <f t="shared" ref="AK264:AK294" ca="1" si="77">IF(R264=1,AK263,MAX(0,AK263+AJ264*AI264-IF(AND(AJ264=0,AJ263=0),1,0)))</f>
        <v>0</v>
      </c>
      <c r="AL264" s="137">
        <f t="shared" ref="AL264:AL294" ca="1" si="78">IF(AJ264=1,1,IF(AK264&gt;0,1,0))</f>
        <v>0</v>
      </c>
      <c r="AM264" s="137">
        <f t="shared" ref="AM264:AM294" si="79">(R264=0)*IF(AH264&gt;=N_Kündigungsfrist_Beginn,1,0)</f>
        <v>0</v>
      </c>
      <c r="AN264" s="137">
        <f t="shared" ref="AN264:AN294" ca="1" si="80">IF(AND(AL264=0,AM264=1,N_GekündigtVon_Auswahl=1),1,0)</f>
        <v>0</v>
      </c>
      <c r="AO264" s="137">
        <f t="shared" ref="AO264:AO294" ca="1" si="81">IF(OR(AN264-AN263=1,AN264*IF(VLOOKUP(AQ264,A_Rückfall_Auswahl,2,0)=1,1,0)=1),VLOOKUP(P264,A_Sperrfrist,2,1),0)</f>
        <v>0</v>
      </c>
      <c r="AP264" s="137">
        <f t="shared" ref="AP264:AP294" ca="1" si="82">IF(R264=1,AP263,MAX(0,IF(AN264=0,0,IF(AO264&gt;0,AO264-1,AP263-1))))</f>
        <v>0</v>
      </c>
      <c r="AQ264" s="137">
        <f t="shared" ref="AQ264:AQ294" si="83">IF(R264=0,IF(AH264=I$214,G$218,IF(AH264=I$224,G$228,IF(AH264=I$234,G$238,0))),0)</f>
        <v>0</v>
      </c>
      <c r="AR264" s="236">
        <f t="shared" ref="AR264:AR294" ca="1" si="84">IF(R264=1,AR263,AR263+IF(AND(AP264&gt;0,AH264&lt;=N_Kündigung),1,0)*AM264*(AI264))</f>
        <v>0</v>
      </c>
      <c r="AT264" s="241">
        <f t="shared" ref="AT264:AT294" ca="1" si="85">AT263-(AE264=3)</f>
        <v>28</v>
      </c>
      <c r="AV264" s="222">
        <f t="shared" ref="AV264:AV294" ca="1" si="86">IF(R264=1,AV263,(AE264=4)*(AV263+1))</f>
        <v>0</v>
      </c>
      <c r="AW264" s="247">
        <f t="shared" ref="AW264:AW294" si="87">A264-DATE(YEAR(A264),MONTH(A264)-N_LFP_324_Dauer_max,DAY(A264))</f>
        <v>91</v>
      </c>
      <c r="AY264" s="239">
        <f ca="1">(AE264=5)*('  B  '!F$110=1)*OR(AND(AND(A264&gt;=S$220,A264&gt;=I$214),AND(A264&lt;=S$221,A264&lt;=I$215)),AND(AND(A264&gt;=S$230,A264&gt;=I$224),AND(A264&lt;=S$231,A264&lt;=I$225)),AND(AND(A264&gt;=S$240,A264&gt;=I$234),AND(A264&lt;=S$241,A264&lt;=I$235)))</f>
        <v>0</v>
      </c>
      <c r="BA264" s="222">
        <f t="shared" ref="BA264:BA294" ca="1" si="88">IF(OR(AE264=5,AE264=8,AE264=10),1,0)</f>
        <v>0</v>
      </c>
      <c r="BB264" s="55">
        <f t="shared" ref="BB264:BB294" ca="1" si="89">BA264+IF(AND(MONTH(A264)=MONTH(N_Anstellung_Beginn),DAY(A264)=DAY(N_Anstellung_Beginn)),0,BB263)</f>
        <v>0</v>
      </c>
      <c r="BC264" s="247">
        <f t="shared" ref="BC264:BC294" si="90">IF(A264&gt;N_Anstellung_Beginn,IF(P264=1,VLOOKUP(P264,A_BernerSkala,2,0)*7,DATE(YEAR(A264),MONTH(A264)+VLOOKUP(MIN(20,P264),A_BernerSkala,2,0),DAY(A264))-A264),0)</f>
        <v>184</v>
      </c>
      <c r="BE264" s="239">
        <f t="shared" ref="BE264:BE294" ca="1" si="91">IF(R264=1,BE263,(AE264=6)*(BE263+1))</f>
        <v>0</v>
      </c>
      <c r="BG264" s="239">
        <f t="shared" ref="BG264:BG294" ca="1" si="92">IF(R264=1,BG263,(AE264=9)*(BG263+1))</f>
        <v>0</v>
      </c>
      <c r="BI264" s="222"/>
      <c r="BJ264" s="137">
        <v>0</v>
      </c>
      <c r="BK264" s="137">
        <v>0</v>
      </c>
      <c r="BL264" s="137">
        <f t="shared" ref="BL264:BL294" ca="1" si="93">IF(AND(N_LohnartAuswahl=2,N_Ferien_ArtAuszahlung_Auswahl=1),0,1)</f>
        <v>1</v>
      </c>
      <c r="BM264" s="137">
        <f t="shared" ref="BM264:BM294" ca="1" si="94">IF(AV264&lt;AW264,1,0)</f>
        <v>1</v>
      </c>
      <c r="BN264" s="137">
        <f ca="1">(A264&gt;=N_LFP_Startdatum)*IF('  B  '!F$110=1,NOT(OR(A264&gt;S$221,A264&gt;S$231,A264&gt;S$241)),IF(BB264&gt;BC264,0,1))</f>
        <v>1</v>
      </c>
      <c r="BO264" s="137">
        <f t="shared" ref="BO264:BO294" ca="1" si="95">IF(BE264&gt;(N_Wartefrist_Unfall+N_Unfalltaggeld_Dauer_max),0,1)</f>
        <v>1</v>
      </c>
      <c r="BP264" s="137">
        <v>0</v>
      </c>
      <c r="BQ264" s="137">
        <f t="shared" ref="BQ264:BQ294" ca="1" si="96">(A264&gt;=N_LFP_Startdatum)*IF(BB264&gt;BC264,0,1)</f>
        <v>1</v>
      </c>
      <c r="BR264" s="653">
        <v>0</v>
      </c>
      <c r="BS264" s="224">
        <f ca="1">(A264&gt;=N_LFP_Startdatum)*IF('  B  '!F$110=1,NOT(OR(A264&gt;S$221,A264&gt;S$231,A264&gt;S$241)),IF(BB264&gt;BC264,0,1))</f>
        <v>1</v>
      </c>
      <c r="BU264" s="562">
        <f t="shared" ref="BU264:BU294" ca="1" si="97">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8">H264*IF(N_ArbeitsstundenSollProKT&gt;0,N_Monatslohn/(P$2*N_ArbeitsstundenSollProKT),0)</f>
        <v>0</v>
      </c>
      <c r="CA264" s="156">
        <f t="shared" ref="CA264:CA294" ca="1" si="99">(R264=0)*SUM(BX264:BZ264)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0">(R264=0)*SUM(CC264:CE264)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1">AND(A264&gt;=I$214,A264&lt;=I$215)*SUM(CH264:CJ264)</f>
        <v>0</v>
      </c>
      <c r="CL264" s="270">
        <f t="shared" ref="CL264:CL294" ca="1" si="102">AND(A264&gt;=I$224,A264&lt;=I$225)*SUM(CH264:CJ264)</f>
        <v>0</v>
      </c>
      <c r="CM264" s="265">
        <f t="shared" ref="CM264:CM294" ca="1" si="103">AND(A264&gt;=I$234,A264&lt;=I$235)*SUM(CH264:CJ264)</f>
        <v>0</v>
      </c>
      <c r="CO264" s="222"/>
      <c r="CP264" s="137">
        <v>0</v>
      </c>
      <c r="CQ264" s="137">
        <v>0</v>
      </c>
      <c r="CR264" s="137">
        <v>0</v>
      </c>
      <c r="CS264" s="137">
        <f t="shared" ref="CS264:CS294" ca="1" si="104">(G264&gt;0)*IF(AV264&lt;=(A264-DATE(YEAR(A264),MONTH(A264)-N_LFP_324_RV_Dauer_max,DAY(A264))),1,0)</f>
        <v>0</v>
      </c>
      <c r="CT264" s="137">
        <f t="shared" ref="CT264:CT294" ca="1" si="105">(G264&gt;0)*IF(BB264&lt;=MIN(BC264,(A264-DATE(YEAR(A264),MONTH(A264)-N_LFP_324a_RV_Dauer_max,DAY(A264)))),1,0)</f>
        <v>0</v>
      </c>
      <c r="CU264" s="137">
        <f t="shared" ref="CU264:CU294" ca="1" si="106">(G264&gt;0)*1</f>
        <v>0</v>
      </c>
      <c r="CV264" s="137">
        <v>0</v>
      </c>
      <c r="CW264" s="137">
        <f t="shared" ref="CW264:CW294" ca="1" si="107">(G264&gt;0)*IF(BB264&lt;=MIN(BC264,(A264-DATE(YEAR(A264),MONTH(A264)-N_LFP_324a_RV_Dauer_max,DAY(A264)))),1,0)</f>
        <v>0</v>
      </c>
      <c r="CX264" s="137">
        <v>0</v>
      </c>
      <c r="CY264" s="224">
        <f t="shared" ref="CY264:CY294" ca="1" si="108">(G264&gt;0)*IF(BB264&lt;=MIN(BC264,(A264-DATE(YEAR(A264),MONTH(A264)-N_LFP_324a_RV_Dauer_max,DAY(A264)))),1,0)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09">AND(A264&gt;=I$214,A264&lt;=I$215)*SUM(DB264:DD264)</f>
        <v>0</v>
      </c>
      <c r="DF264" s="279">
        <f t="shared" ref="DF264:DF294" ca="1" si="110">AND(A264&gt;=I$224,A264&lt;=I$225)*SUM(DB264:DD264)</f>
        <v>0</v>
      </c>
      <c r="DG264" s="280">
        <f t="shared" ref="DG264:DG294" ca="1" si="111">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2">A264+1</f>
        <v>45353</v>
      </c>
      <c r="B265" s="154"/>
      <c r="C265" s="154"/>
      <c r="D265" s="154"/>
      <c r="E265" s="875" t="str">
        <f t="shared" ca="1" si="56"/>
        <v/>
      </c>
      <c r="F265" s="876"/>
      <c r="G265" s="667">
        <f t="shared" ref="G265:G294" ca="1" si="113">MAX(0,(N_ArbeitsstundenSollProKT*BU265-BV265)*OFFSET(BI265,0,AE265,1,1))</f>
        <v>0</v>
      </c>
      <c r="H265" s="667">
        <f t="shared" ca="1" si="57"/>
        <v>0</v>
      </c>
      <c r="I265" s="667">
        <f t="shared" ca="1" si="58"/>
        <v>0</v>
      </c>
      <c r="P265" s="151">
        <f t="shared" si="59"/>
        <v>125</v>
      </c>
      <c r="R265" s="55">
        <f t="shared" si="60"/>
        <v>0</v>
      </c>
      <c r="S265" s="55">
        <f t="shared" si="61"/>
        <v>1</v>
      </c>
      <c r="U265" s="226">
        <f t="shared" si="62"/>
        <v>0</v>
      </c>
      <c r="V265" s="137">
        <f t="shared" ca="1" si="63"/>
        <v>0</v>
      </c>
      <c r="W265" s="137">
        <f t="shared" si="64"/>
        <v>0</v>
      </c>
      <c r="X265" s="137">
        <f t="shared" si="65"/>
        <v>0</v>
      </c>
      <c r="Y265" s="137">
        <f t="shared" ca="1" si="66"/>
        <v>0</v>
      </c>
      <c r="Z265" s="137">
        <f t="shared" ca="1" si="67"/>
        <v>0</v>
      </c>
      <c r="AA265" s="137">
        <f t="shared" ca="1" si="68"/>
        <v>0</v>
      </c>
      <c r="AB265" s="137">
        <f t="shared" ca="1" si="69"/>
        <v>0</v>
      </c>
      <c r="AC265" s="137">
        <f t="shared" ca="1" si="70"/>
        <v>0</v>
      </c>
      <c r="AD265" s="137">
        <f t="shared" ca="1" si="71"/>
        <v>0</v>
      </c>
      <c r="AE265" s="223">
        <f t="shared" ca="1" si="72"/>
        <v>0</v>
      </c>
      <c r="AF265" s="229" t="str">
        <f t="shared" ca="1" si="73"/>
        <v/>
      </c>
      <c r="AH265" s="235">
        <f t="shared" si="74"/>
        <v>45353</v>
      </c>
      <c r="AI265" s="137">
        <f t="shared" ca="1" si="75"/>
        <v>0</v>
      </c>
      <c r="AJ265" s="137">
        <f t="shared" si="76"/>
        <v>0</v>
      </c>
      <c r="AK265" s="137">
        <f t="shared" ca="1" si="77"/>
        <v>0</v>
      </c>
      <c r="AL265" s="137">
        <f t="shared" ca="1" si="78"/>
        <v>0</v>
      </c>
      <c r="AM265" s="137">
        <f t="shared" si="79"/>
        <v>0</v>
      </c>
      <c r="AN265" s="137">
        <f t="shared" ca="1" si="80"/>
        <v>0</v>
      </c>
      <c r="AO265" s="137">
        <f t="shared" ca="1" si="81"/>
        <v>0</v>
      </c>
      <c r="AP265" s="137">
        <f t="shared" ca="1" si="82"/>
        <v>0</v>
      </c>
      <c r="AQ265" s="137">
        <f t="shared" si="83"/>
        <v>0</v>
      </c>
      <c r="AR265" s="236">
        <f t="shared" ca="1" si="84"/>
        <v>0</v>
      </c>
      <c r="AT265" s="241">
        <f t="shared" ca="1" si="85"/>
        <v>28</v>
      </c>
      <c r="AV265" s="222">
        <f t="shared" ca="1" si="86"/>
        <v>0</v>
      </c>
      <c r="AW265" s="247">
        <f t="shared" si="87"/>
        <v>91</v>
      </c>
      <c r="AY265" s="239">
        <f ca="1">(AE265=5)*('  B  '!F$110=1)*OR(AND(AND(A265&gt;=S$220,A265&gt;=I$214),AND(A265&lt;=S$221,A265&lt;=I$215)),AND(AND(A265&gt;=S$230,A265&gt;=I$224),AND(A265&lt;=S$231,A265&lt;=I$225)),AND(AND(A265&gt;=S$240,A265&gt;=I$234),AND(A265&lt;=S$241,A265&lt;=I$235)))</f>
        <v>0</v>
      </c>
      <c r="BA265" s="222">
        <f t="shared" ca="1" si="88"/>
        <v>0</v>
      </c>
      <c r="BB265" s="55">
        <f t="shared" ca="1" si="89"/>
        <v>0</v>
      </c>
      <c r="BC265" s="247">
        <f t="shared" si="90"/>
        <v>184</v>
      </c>
      <c r="BE265" s="239">
        <f t="shared" ca="1" si="91"/>
        <v>0</v>
      </c>
      <c r="BG265" s="239">
        <f t="shared" ca="1" si="92"/>
        <v>0</v>
      </c>
      <c r="BI265" s="222"/>
      <c r="BJ265" s="137">
        <v>0</v>
      </c>
      <c r="BK265" s="137">
        <v>0</v>
      </c>
      <c r="BL265" s="137">
        <f t="shared" ca="1" si="93"/>
        <v>1</v>
      </c>
      <c r="BM265" s="137">
        <f t="shared" ca="1" si="94"/>
        <v>1</v>
      </c>
      <c r="BN265" s="137">
        <f ca="1">(A265&gt;=N_LFP_Startdatum)*IF('  B  '!F$110=1,NOT(OR(A265&gt;S$221,A265&gt;S$231,A265&gt;S$241)),IF(BB265&gt;BC265,0,1))</f>
        <v>1</v>
      </c>
      <c r="BO265" s="137">
        <f t="shared" ca="1" si="95"/>
        <v>1</v>
      </c>
      <c r="BP265" s="137">
        <v>0</v>
      </c>
      <c r="BQ265" s="137">
        <f t="shared" ca="1" si="96"/>
        <v>1</v>
      </c>
      <c r="BR265" s="653">
        <v>0</v>
      </c>
      <c r="BS265" s="224">
        <f ca="1">(A265&gt;=N_LFP_Startdatum)*IF('  B  '!F$110=1,NOT(OR(A265&gt;S$221,A265&gt;S$231,A265&gt;S$241)),IF(BB265&gt;BC265,0,1))</f>
        <v>1</v>
      </c>
      <c r="BU265" s="562">
        <f t="shared" ca="1" si="97"/>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8"/>
        <v>0</v>
      </c>
      <c r="CA265" s="156">
        <f t="shared" ca="1" si="99"/>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0"/>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1"/>
        <v>0</v>
      </c>
      <c r="CL265" s="270">
        <f t="shared" ca="1" si="102"/>
        <v>0</v>
      </c>
      <c r="CM265" s="265">
        <f t="shared" ca="1" si="103"/>
        <v>0</v>
      </c>
      <c r="CO265" s="222"/>
      <c r="CP265" s="137">
        <v>0</v>
      </c>
      <c r="CQ265" s="137">
        <v>0</v>
      </c>
      <c r="CR265" s="137">
        <v>0</v>
      </c>
      <c r="CS265" s="137">
        <f t="shared" ca="1" si="104"/>
        <v>0</v>
      </c>
      <c r="CT265" s="137">
        <f t="shared" ca="1" si="105"/>
        <v>0</v>
      </c>
      <c r="CU265" s="137">
        <f t="shared" ca="1" si="106"/>
        <v>0</v>
      </c>
      <c r="CV265" s="137">
        <v>0</v>
      </c>
      <c r="CW265" s="137">
        <f t="shared" ca="1" si="107"/>
        <v>0</v>
      </c>
      <c r="CX265" s="137">
        <v>0</v>
      </c>
      <c r="CY265" s="224">
        <f t="shared" ca="1" si="108"/>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09"/>
        <v>0</v>
      </c>
      <c r="DF265" s="279">
        <f t="shared" ca="1" si="110"/>
        <v>0</v>
      </c>
      <c r="DG265" s="280">
        <f t="shared" ca="1" si="111"/>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4">AND(A265&gt;=I$214,A265&lt;=I$215)*SUM(DI265:DL265)</f>
        <v>0</v>
      </c>
      <c r="DN265" s="279">
        <f t="shared" ref="DN265:DN294" ca="1" si="115">AND(A265&gt;=I$224,A265&lt;=I$225)*SUM(DJ265:DL265)</f>
        <v>0</v>
      </c>
      <c r="DO265" s="279">
        <f t="shared" ref="DO265:DO294" ca="1" si="116">AND(A265&gt;=I$234,A265&lt;=I$235)*SUM(DB265:DD265)</f>
        <v>0</v>
      </c>
    </row>
    <row r="266" spans="1:119" x14ac:dyDescent="0.25">
      <c r="A266" s="153">
        <f t="shared" si="112"/>
        <v>45354</v>
      </c>
      <c r="B266" s="154"/>
      <c r="C266" s="154"/>
      <c r="D266" s="154"/>
      <c r="E266" s="875" t="str">
        <f t="shared" ca="1" si="56"/>
        <v/>
      </c>
      <c r="F266" s="876"/>
      <c r="G266" s="667">
        <f t="shared" ca="1" si="113"/>
        <v>0</v>
      </c>
      <c r="H266" s="667">
        <f t="shared" ca="1" si="57"/>
        <v>0</v>
      </c>
      <c r="I266" s="667">
        <f t="shared" ca="1" si="58"/>
        <v>0</v>
      </c>
      <c r="P266" s="151">
        <f t="shared" si="59"/>
        <v>125</v>
      </c>
      <c r="R266" s="55">
        <f t="shared" si="60"/>
        <v>0</v>
      </c>
      <c r="S266" s="55">
        <f t="shared" si="61"/>
        <v>1</v>
      </c>
      <c r="U266" s="226">
        <f t="shared" si="62"/>
        <v>0</v>
      </c>
      <c r="V266" s="137">
        <f t="shared" ca="1" si="63"/>
        <v>0</v>
      </c>
      <c r="W266" s="137">
        <f t="shared" si="64"/>
        <v>0</v>
      </c>
      <c r="X266" s="137">
        <f t="shared" si="65"/>
        <v>0</v>
      </c>
      <c r="Y266" s="137">
        <f t="shared" ca="1" si="66"/>
        <v>0</v>
      </c>
      <c r="Z266" s="137">
        <f t="shared" ca="1" si="67"/>
        <v>0</v>
      </c>
      <c r="AA266" s="137">
        <f t="shared" ca="1" si="68"/>
        <v>0</v>
      </c>
      <c r="AB266" s="137">
        <f t="shared" ca="1" si="69"/>
        <v>0</v>
      </c>
      <c r="AC266" s="137">
        <f t="shared" ca="1" si="70"/>
        <v>0</v>
      </c>
      <c r="AD266" s="137">
        <f t="shared" ca="1" si="71"/>
        <v>0</v>
      </c>
      <c r="AE266" s="223">
        <f t="shared" ca="1" si="72"/>
        <v>0</v>
      </c>
      <c r="AF266" s="229" t="str">
        <f t="shared" ca="1" si="73"/>
        <v/>
      </c>
      <c r="AH266" s="235">
        <f t="shared" si="74"/>
        <v>45354</v>
      </c>
      <c r="AI266" s="137">
        <f t="shared" ca="1" si="75"/>
        <v>0</v>
      </c>
      <c r="AJ266" s="137">
        <f t="shared" si="76"/>
        <v>0</v>
      </c>
      <c r="AK266" s="137">
        <f t="shared" ca="1" si="77"/>
        <v>0</v>
      </c>
      <c r="AL266" s="137">
        <f t="shared" ca="1" si="78"/>
        <v>0</v>
      </c>
      <c r="AM266" s="137">
        <f t="shared" si="79"/>
        <v>0</v>
      </c>
      <c r="AN266" s="137">
        <f t="shared" ca="1" si="80"/>
        <v>0</v>
      </c>
      <c r="AO266" s="137">
        <f t="shared" ca="1" si="81"/>
        <v>0</v>
      </c>
      <c r="AP266" s="137">
        <f t="shared" ca="1" si="82"/>
        <v>0</v>
      </c>
      <c r="AQ266" s="137">
        <f t="shared" si="83"/>
        <v>0</v>
      </c>
      <c r="AR266" s="236">
        <f t="shared" ca="1" si="84"/>
        <v>0</v>
      </c>
      <c r="AT266" s="241">
        <f t="shared" ca="1" si="85"/>
        <v>28</v>
      </c>
      <c r="AV266" s="222">
        <f t="shared" ca="1" si="86"/>
        <v>0</v>
      </c>
      <c r="AW266" s="247">
        <f t="shared" si="87"/>
        <v>91</v>
      </c>
      <c r="AY266" s="239">
        <f ca="1">(AE266=5)*('  B  '!F$110=1)*OR(AND(AND(A266&gt;=S$220,A266&gt;=I$214),AND(A266&lt;=S$221,A266&lt;=I$215)),AND(AND(A266&gt;=S$230,A266&gt;=I$224),AND(A266&lt;=S$231,A266&lt;=I$225)),AND(AND(A266&gt;=S$240,A266&gt;=I$234),AND(A266&lt;=S$241,A266&lt;=I$235)))</f>
        <v>0</v>
      </c>
      <c r="BA266" s="222">
        <f t="shared" ca="1" si="88"/>
        <v>0</v>
      </c>
      <c r="BB266" s="55">
        <f t="shared" ca="1" si="89"/>
        <v>0</v>
      </c>
      <c r="BC266" s="247">
        <f t="shared" si="90"/>
        <v>184</v>
      </c>
      <c r="BE266" s="239">
        <f t="shared" ca="1" si="91"/>
        <v>0</v>
      </c>
      <c r="BG266" s="239">
        <f t="shared" ca="1" si="92"/>
        <v>0</v>
      </c>
      <c r="BI266" s="222"/>
      <c r="BJ266" s="137">
        <v>0</v>
      </c>
      <c r="BK266" s="137">
        <v>0</v>
      </c>
      <c r="BL266" s="137">
        <f t="shared" ca="1" si="93"/>
        <v>1</v>
      </c>
      <c r="BM266" s="137">
        <f t="shared" ca="1" si="94"/>
        <v>1</v>
      </c>
      <c r="BN266" s="137">
        <f ca="1">(A266&gt;=N_LFP_Startdatum)*IF('  B  '!F$110=1,NOT(OR(A266&gt;S$221,A266&gt;S$231,A266&gt;S$241)),IF(BB266&gt;BC266,0,1))</f>
        <v>1</v>
      </c>
      <c r="BO266" s="137">
        <f t="shared" ca="1" si="95"/>
        <v>1</v>
      </c>
      <c r="BP266" s="137">
        <v>0</v>
      </c>
      <c r="BQ266" s="137">
        <f t="shared" ca="1" si="96"/>
        <v>1</v>
      </c>
      <c r="BR266" s="653">
        <v>0</v>
      </c>
      <c r="BS266" s="224">
        <f ca="1">(A266&gt;=N_LFP_Startdatum)*IF('  B  '!F$110=1,NOT(OR(A266&gt;S$221,A266&gt;S$231,A266&gt;S$241)),IF(BB266&gt;BC266,0,1))</f>
        <v>1</v>
      </c>
      <c r="BU266" s="562">
        <f t="shared" ca="1" si="97"/>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8"/>
        <v>0</v>
      </c>
      <c r="CA266" s="156">
        <f t="shared" ca="1" si="99"/>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0"/>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1"/>
        <v>0</v>
      </c>
      <c r="CL266" s="270">
        <f t="shared" ca="1" si="102"/>
        <v>0</v>
      </c>
      <c r="CM266" s="265">
        <f t="shared" ca="1" si="103"/>
        <v>0</v>
      </c>
      <c r="CO266" s="222"/>
      <c r="CP266" s="137">
        <v>0</v>
      </c>
      <c r="CQ266" s="137">
        <v>0</v>
      </c>
      <c r="CR266" s="137">
        <v>0</v>
      </c>
      <c r="CS266" s="137">
        <f t="shared" ca="1" si="104"/>
        <v>0</v>
      </c>
      <c r="CT266" s="137">
        <f t="shared" ca="1" si="105"/>
        <v>0</v>
      </c>
      <c r="CU266" s="137">
        <f t="shared" ca="1" si="106"/>
        <v>0</v>
      </c>
      <c r="CV266" s="137">
        <v>0</v>
      </c>
      <c r="CW266" s="137">
        <f t="shared" ca="1" si="107"/>
        <v>0</v>
      </c>
      <c r="CX266" s="137">
        <v>0</v>
      </c>
      <c r="CY266" s="224">
        <f t="shared" ca="1" si="108"/>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09"/>
        <v>0</v>
      </c>
      <c r="DF266" s="279">
        <f t="shared" ca="1" si="110"/>
        <v>0</v>
      </c>
      <c r="DG266" s="280">
        <f t="shared" ca="1" si="111"/>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4"/>
        <v>0</v>
      </c>
      <c r="DN266" s="279">
        <f t="shared" ca="1" si="115"/>
        <v>0</v>
      </c>
      <c r="DO266" s="279">
        <f t="shared" ca="1" si="116"/>
        <v>0</v>
      </c>
    </row>
    <row r="267" spans="1:119" x14ac:dyDescent="0.25">
      <c r="A267" s="153">
        <f t="shared" si="112"/>
        <v>45355</v>
      </c>
      <c r="B267" s="154"/>
      <c r="C267" s="154"/>
      <c r="D267" s="154"/>
      <c r="E267" s="875" t="str">
        <f t="shared" ca="1" si="56"/>
        <v/>
      </c>
      <c r="F267" s="876"/>
      <c r="G267" s="667">
        <f t="shared" ca="1" si="113"/>
        <v>0</v>
      </c>
      <c r="H267" s="667">
        <f t="shared" ca="1" si="57"/>
        <v>0</v>
      </c>
      <c r="I267" s="667">
        <f t="shared" ca="1" si="58"/>
        <v>0</v>
      </c>
      <c r="P267" s="151">
        <f t="shared" si="59"/>
        <v>125</v>
      </c>
      <c r="R267" s="55">
        <f t="shared" si="60"/>
        <v>0</v>
      </c>
      <c r="S267" s="55">
        <f t="shared" si="61"/>
        <v>1</v>
      </c>
      <c r="U267" s="226">
        <f t="shared" si="62"/>
        <v>0</v>
      </c>
      <c r="V267" s="137">
        <f t="shared" ca="1" si="63"/>
        <v>0</v>
      </c>
      <c r="W267" s="137">
        <f t="shared" si="64"/>
        <v>0</v>
      </c>
      <c r="X267" s="137">
        <f t="shared" si="65"/>
        <v>0</v>
      </c>
      <c r="Y267" s="137">
        <f t="shared" ca="1" si="66"/>
        <v>0</v>
      </c>
      <c r="Z267" s="137">
        <f t="shared" ca="1" si="67"/>
        <v>0</v>
      </c>
      <c r="AA267" s="137">
        <f t="shared" ca="1" si="68"/>
        <v>0</v>
      </c>
      <c r="AB267" s="137">
        <f t="shared" ca="1" si="69"/>
        <v>0</v>
      </c>
      <c r="AC267" s="137">
        <f t="shared" ca="1" si="70"/>
        <v>0</v>
      </c>
      <c r="AD267" s="137">
        <f t="shared" ca="1" si="71"/>
        <v>0</v>
      </c>
      <c r="AE267" s="223">
        <f t="shared" ca="1" si="72"/>
        <v>0</v>
      </c>
      <c r="AF267" s="229" t="str">
        <f t="shared" ca="1" si="73"/>
        <v/>
      </c>
      <c r="AH267" s="235">
        <f t="shared" si="74"/>
        <v>45355</v>
      </c>
      <c r="AI267" s="137">
        <f t="shared" ca="1" si="75"/>
        <v>0</v>
      </c>
      <c r="AJ267" s="137">
        <f t="shared" si="76"/>
        <v>0</v>
      </c>
      <c r="AK267" s="137">
        <f t="shared" ca="1" si="77"/>
        <v>0</v>
      </c>
      <c r="AL267" s="137">
        <f t="shared" ca="1" si="78"/>
        <v>0</v>
      </c>
      <c r="AM267" s="137">
        <f t="shared" si="79"/>
        <v>0</v>
      </c>
      <c r="AN267" s="137">
        <f t="shared" ca="1" si="80"/>
        <v>0</v>
      </c>
      <c r="AO267" s="137">
        <f t="shared" ca="1" si="81"/>
        <v>0</v>
      </c>
      <c r="AP267" s="137">
        <f t="shared" ca="1" si="82"/>
        <v>0</v>
      </c>
      <c r="AQ267" s="137">
        <f t="shared" si="83"/>
        <v>0</v>
      </c>
      <c r="AR267" s="236">
        <f t="shared" ca="1" si="84"/>
        <v>0</v>
      </c>
      <c r="AT267" s="241">
        <f t="shared" ca="1" si="85"/>
        <v>28</v>
      </c>
      <c r="AV267" s="222">
        <f t="shared" ca="1" si="86"/>
        <v>0</v>
      </c>
      <c r="AW267" s="247">
        <f t="shared" si="87"/>
        <v>91</v>
      </c>
      <c r="AY267" s="239">
        <f ca="1">(AE267=5)*('  B  '!F$110=1)*OR(AND(AND(A267&gt;=S$220,A267&gt;=I$214),AND(A267&lt;=S$221,A267&lt;=I$215)),AND(AND(A267&gt;=S$230,A267&gt;=I$224),AND(A267&lt;=S$231,A267&lt;=I$225)),AND(AND(A267&gt;=S$240,A267&gt;=I$234),AND(A267&lt;=S$241,A267&lt;=I$235)))</f>
        <v>0</v>
      </c>
      <c r="BA267" s="222">
        <f t="shared" ca="1" si="88"/>
        <v>0</v>
      </c>
      <c r="BB267" s="55">
        <f t="shared" ca="1" si="89"/>
        <v>0</v>
      </c>
      <c r="BC267" s="247">
        <f t="shared" si="90"/>
        <v>184</v>
      </c>
      <c r="BE267" s="239">
        <f t="shared" ca="1" si="91"/>
        <v>0</v>
      </c>
      <c r="BG267" s="239">
        <f t="shared" ca="1" si="92"/>
        <v>0</v>
      </c>
      <c r="BI267" s="222"/>
      <c r="BJ267" s="137">
        <v>0</v>
      </c>
      <c r="BK267" s="137">
        <v>0</v>
      </c>
      <c r="BL267" s="137">
        <f t="shared" ca="1" si="93"/>
        <v>1</v>
      </c>
      <c r="BM267" s="137">
        <f t="shared" ca="1" si="94"/>
        <v>1</v>
      </c>
      <c r="BN267" s="137">
        <f ca="1">(A267&gt;=N_LFP_Startdatum)*IF('  B  '!F$110=1,NOT(OR(A267&gt;S$221,A267&gt;S$231,A267&gt;S$241)),IF(BB267&gt;BC267,0,1))</f>
        <v>1</v>
      </c>
      <c r="BO267" s="137">
        <f t="shared" ca="1" si="95"/>
        <v>1</v>
      </c>
      <c r="BP267" s="137">
        <v>0</v>
      </c>
      <c r="BQ267" s="137">
        <f t="shared" ca="1" si="96"/>
        <v>1</v>
      </c>
      <c r="BR267" s="653">
        <v>0</v>
      </c>
      <c r="BS267" s="224">
        <f ca="1">(A267&gt;=N_LFP_Startdatum)*IF('  B  '!F$110=1,NOT(OR(A267&gt;S$221,A267&gt;S$231,A267&gt;S$241)),IF(BB267&gt;BC267,0,1))</f>
        <v>1</v>
      </c>
      <c r="BU267" s="562">
        <f t="shared" ca="1" si="97"/>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8"/>
        <v>0</v>
      </c>
      <c r="CA267" s="156">
        <f t="shared" ca="1" si="99"/>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0"/>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1"/>
        <v>0</v>
      </c>
      <c r="CL267" s="270">
        <f t="shared" ca="1" si="102"/>
        <v>0</v>
      </c>
      <c r="CM267" s="265">
        <f t="shared" ca="1" si="103"/>
        <v>0</v>
      </c>
      <c r="CO267" s="222"/>
      <c r="CP267" s="137">
        <v>0</v>
      </c>
      <c r="CQ267" s="137">
        <v>0</v>
      </c>
      <c r="CR267" s="137">
        <v>0</v>
      </c>
      <c r="CS267" s="137">
        <f t="shared" ca="1" si="104"/>
        <v>0</v>
      </c>
      <c r="CT267" s="137">
        <f t="shared" ca="1" si="105"/>
        <v>0</v>
      </c>
      <c r="CU267" s="137">
        <f t="shared" ca="1" si="106"/>
        <v>0</v>
      </c>
      <c r="CV267" s="137">
        <v>0</v>
      </c>
      <c r="CW267" s="137">
        <f t="shared" ca="1" si="107"/>
        <v>0</v>
      </c>
      <c r="CX267" s="137">
        <v>0</v>
      </c>
      <c r="CY267" s="224">
        <f t="shared" ca="1" si="108"/>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09"/>
        <v>0</v>
      </c>
      <c r="DF267" s="279">
        <f t="shared" ca="1" si="110"/>
        <v>0</v>
      </c>
      <c r="DG267" s="280">
        <f t="shared" ca="1" si="111"/>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4"/>
        <v>0</v>
      </c>
      <c r="DN267" s="279">
        <f t="shared" ca="1" si="115"/>
        <v>0</v>
      </c>
      <c r="DO267" s="279">
        <f t="shared" ca="1" si="116"/>
        <v>0</v>
      </c>
    </row>
    <row r="268" spans="1:119" x14ac:dyDescent="0.25">
      <c r="A268" s="153">
        <f t="shared" si="112"/>
        <v>45356</v>
      </c>
      <c r="B268" s="154"/>
      <c r="C268" s="154"/>
      <c r="D268" s="154"/>
      <c r="E268" s="875" t="str">
        <f t="shared" ca="1" si="56"/>
        <v/>
      </c>
      <c r="F268" s="876"/>
      <c r="G268" s="667">
        <f t="shared" ca="1" si="113"/>
        <v>0</v>
      </c>
      <c r="H268" s="667">
        <f t="shared" ca="1" si="57"/>
        <v>0</v>
      </c>
      <c r="I268" s="667">
        <f t="shared" ca="1" si="58"/>
        <v>0</v>
      </c>
      <c r="P268" s="151">
        <f t="shared" si="59"/>
        <v>125</v>
      </c>
      <c r="R268" s="55">
        <f t="shared" si="60"/>
        <v>0</v>
      </c>
      <c r="S268" s="55">
        <f t="shared" si="61"/>
        <v>1</v>
      </c>
      <c r="U268" s="226">
        <f t="shared" si="62"/>
        <v>0</v>
      </c>
      <c r="V268" s="137">
        <f t="shared" ca="1" si="63"/>
        <v>0</v>
      </c>
      <c r="W268" s="137">
        <f t="shared" si="64"/>
        <v>0</v>
      </c>
      <c r="X268" s="137">
        <f t="shared" si="65"/>
        <v>0</v>
      </c>
      <c r="Y268" s="137">
        <f t="shared" ca="1" si="66"/>
        <v>0</v>
      </c>
      <c r="Z268" s="137">
        <f t="shared" ca="1" si="67"/>
        <v>0</v>
      </c>
      <c r="AA268" s="137">
        <f t="shared" ca="1" si="68"/>
        <v>0</v>
      </c>
      <c r="AB268" s="137">
        <f t="shared" ca="1" si="69"/>
        <v>0</v>
      </c>
      <c r="AC268" s="137">
        <f t="shared" ca="1" si="70"/>
        <v>0</v>
      </c>
      <c r="AD268" s="137">
        <f t="shared" ca="1" si="71"/>
        <v>0</v>
      </c>
      <c r="AE268" s="223">
        <f t="shared" ca="1" si="72"/>
        <v>0</v>
      </c>
      <c r="AF268" s="229" t="str">
        <f t="shared" ca="1" si="73"/>
        <v/>
      </c>
      <c r="AH268" s="235">
        <f t="shared" si="74"/>
        <v>45356</v>
      </c>
      <c r="AI268" s="137">
        <f t="shared" ca="1" si="75"/>
        <v>0</v>
      </c>
      <c r="AJ268" s="137">
        <f t="shared" si="76"/>
        <v>0</v>
      </c>
      <c r="AK268" s="137">
        <f t="shared" ca="1" si="77"/>
        <v>0</v>
      </c>
      <c r="AL268" s="137">
        <f t="shared" ca="1" si="78"/>
        <v>0</v>
      </c>
      <c r="AM268" s="137">
        <f t="shared" si="79"/>
        <v>0</v>
      </c>
      <c r="AN268" s="137">
        <f t="shared" ca="1" si="80"/>
        <v>0</v>
      </c>
      <c r="AO268" s="137">
        <f t="shared" ca="1" si="81"/>
        <v>0</v>
      </c>
      <c r="AP268" s="137">
        <f t="shared" ca="1" si="82"/>
        <v>0</v>
      </c>
      <c r="AQ268" s="137">
        <f t="shared" si="83"/>
        <v>0</v>
      </c>
      <c r="AR268" s="236">
        <f t="shared" ca="1" si="84"/>
        <v>0</v>
      </c>
      <c r="AT268" s="241">
        <f t="shared" ca="1" si="85"/>
        <v>28</v>
      </c>
      <c r="AV268" s="222">
        <f t="shared" ca="1" si="86"/>
        <v>0</v>
      </c>
      <c r="AW268" s="247">
        <f t="shared" si="87"/>
        <v>91</v>
      </c>
      <c r="AY268" s="239">
        <f ca="1">(AE268=5)*('  B  '!F$110=1)*OR(AND(AND(A268&gt;=S$220,A268&gt;=I$214),AND(A268&lt;=S$221,A268&lt;=I$215)),AND(AND(A268&gt;=S$230,A268&gt;=I$224),AND(A268&lt;=S$231,A268&lt;=I$225)),AND(AND(A268&gt;=S$240,A268&gt;=I$234),AND(A268&lt;=S$241,A268&lt;=I$235)))</f>
        <v>0</v>
      </c>
      <c r="BA268" s="222">
        <f t="shared" ca="1" si="88"/>
        <v>0</v>
      </c>
      <c r="BB268" s="55">
        <f t="shared" ca="1" si="89"/>
        <v>0</v>
      </c>
      <c r="BC268" s="247">
        <f t="shared" si="90"/>
        <v>184</v>
      </c>
      <c r="BE268" s="239">
        <f t="shared" ca="1" si="91"/>
        <v>0</v>
      </c>
      <c r="BG268" s="239">
        <f t="shared" ca="1" si="92"/>
        <v>0</v>
      </c>
      <c r="BI268" s="222"/>
      <c r="BJ268" s="137">
        <v>0</v>
      </c>
      <c r="BK268" s="137">
        <v>0</v>
      </c>
      <c r="BL268" s="137">
        <f t="shared" ca="1" si="93"/>
        <v>1</v>
      </c>
      <c r="BM268" s="137">
        <f t="shared" ca="1" si="94"/>
        <v>1</v>
      </c>
      <c r="BN268" s="137">
        <f ca="1">(A268&gt;=N_LFP_Startdatum)*IF('  B  '!F$110=1,NOT(OR(A268&gt;S$221,A268&gt;S$231,A268&gt;S$241)),IF(BB268&gt;BC268,0,1))</f>
        <v>1</v>
      </c>
      <c r="BO268" s="137">
        <f t="shared" ca="1" si="95"/>
        <v>1</v>
      </c>
      <c r="BP268" s="137">
        <v>0</v>
      </c>
      <c r="BQ268" s="137">
        <f t="shared" ca="1" si="96"/>
        <v>1</v>
      </c>
      <c r="BR268" s="653">
        <v>0</v>
      </c>
      <c r="BS268" s="224">
        <f ca="1">(A268&gt;=N_LFP_Startdatum)*IF('  B  '!F$110=1,NOT(OR(A268&gt;S$221,A268&gt;S$231,A268&gt;S$241)),IF(BB268&gt;BC268,0,1))</f>
        <v>1</v>
      </c>
      <c r="BU268" s="562">
        <f t="shared" ca="1" si="97"/>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8"/>
        <v>0</v>
      </c>
      <c r="CA268" s="156">
        <f t="shared" ca="1" si="99"/>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0"/>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1"/>
        <v>0</v>
      </c>
      <c r="CL268" s="270">
        <f t="shared" ca="1" si="102"/>
        <v>0</v>
      </c>
      <c r="CM268" s="265">
        <f t="shared" ca="1" si="103"/>
        <v>0</v>
      </c>
      <c r="CO268" s="222"/>
      <c r="CP268" s="137">
        <v>0</v>
      </c>
      <c r="CQ268" s="137">
        <v>0</v>
      </c>
      <c r="CR268" s="137">
        <v>0</v>
      </c>
      <c r="CS268" s="137">
        <f t="shared" ca="1" si="104"/>
        <v>0</v>
      </c>
      <c r="CT268" s="137">
        <f t="shared" ca="1" si="105"/>
        <v>0</v>
      </c>
      <c r="CU268" s="137">
        <f t="shared" ca="1" si="106"/>
        <v>0</v>
      </c>
      <c r="CV268" s="137">
        <v>0</v>
      </c>
      <c r="CW268" s="137">
        <f t="shared" ca="1" si="107"/>
        <v>0</v>
      </c>
      <c r="CX268" s="137">
        <v>0</v>
      </c>
      <c r="CY268" s="224">
        <f t="shared" ca="1" si="108"/>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09"/>
        <v>0</v>
      </c>
      <c r="DF268" s="279">
        <f t="shared" ca="1" si="110"/>
        <v>0</v>
      </c>
      <c r="DG268" s="280">
        <f t="shared" ca="1" si="111"/>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4"/>
        <v>0</v>
      </c>
      <c r="DN268" s="279">
        <f t="shared" ca="1" si="115"/>
        <v>0</v>
      </c>
      <c r="DO268" s="279">
        <f t="shared" ca="1" si="116"/>
        <v>0</v>
      </c>
    </row>
    <row r="269" spans="1:119" x14ac:dyDescent="0.25">
      <c r="A269" s="153">
        <f t="shared" si="112"/>
        <v>45357</v>
      </c>
      <c r="B269" s="154"/>
      <c r="C269" s="154"/>
      <c r="D269" s="154"/>
      <c r="E269" s="875" t="str">
        <f t="shared" ca="1" si="56"/>
        <v/>
      </c>
      <c r="F269" s="876"/>
      <c r="G269" s="667">
        <f t="shared" ca="1" si="113"/>
        <v>0</v>
      </c>
      <c r="H269" s="667">
        <f t="shared" ca="1" si="57"/>
        <v>0</v>
      </c>
      <c r="I269" s="667">
        <f t="shared" ca="1" si="58"/>
        <v>0</v>
      </c>
      <c r="P269" s="151">
        <f t="shared" si="59"/>
        <v>125</v>
      </c>
      <c r="R269" s="55">
        <f t="shared" si="60"/>
        <v>0</v>
      </c>
      <c r="S269" s="55">
        <f t="shared" si="61"/>
        <v>1</v>
      </c>
      <c r="U269" s="226">
        <f t="shared" si="62"/>
        <v>0</v>
      </c>
      <c r="V269" s="137">
        <f t="shared" ca="1" si="63"/>
        <v>0</v>
      </c>
      <c r="W269" s="137">
        <f t="shared" si="64"/>
        <v>0</v>
      </c>
      <c r="X269" s="137">
        <f t="shared" si="65"/>
        <v>0</v>
      </c>
      <c r="Y269" s="137">
        <f t="shared" ca="1" si="66"/>
        <v>0</v>
      </c>
      <c r="Z269" s="137">
        <f t="shared" ca="1" si="67"/>
        <v>0</v>
      </c>
      <c r="AA269" s="137">
        <f t="shared" ca="1" si="68"/>
        <v>0</v>
      </c>
      <c r="AB269" s="137">
        <f t="shared" ca="1" si="69"/>
        <v>0</v>
      </c>
      <c r="AC269" s="137">
        <f t="shared" ca="1" si="70"/>
        <v>0</v>
      </c>
      <c r="AD269" s="137">
        <f t="shared" ca="1" si="71"/>
        <v>0</v>
      </c>
      <c r="AE269" s="223">
        <f t="shared" ca="1" si="72"/>
        <v>0</v>
      </c>
      <c r="AF269" s="229" t="str">
        <f t="shared" ca="1" si="73"/>
        <v/>
      </c>
      <c r="AH269" s="235">
        <f t="shared" si="74"/>
        <v>45357</v>
      </c>
      <c r="AI269" s="137">
        <f t="shared" ca="1" si="75"/>
        <v>0</v>
      </c>
      <c r="AJ269" s="137">
        <f t="shared" si="76"/>
        <v>0</v>
      </c>
      <c r="AK269" s="137">
        <f t="shared" ca="1" si="77"/>
        <v>0</v>
      </c>
      <c r="AL269" s="137">
        <f t="shared" ca="1" si="78"/>
        <v>0</v>
      </c>
      <c r="AM269" s="137">
        <f t="shared" si="79"/>
        <v>0</v>
      </c>
      <c r="AN269" s="137">
        <f t="shared" ca="1" si="80"/>
        <v>0</v>
      </c>
      <c r="AO269" s="137">
        <f t="shared" ca="1" si="81"/>
        <v>0</v>
      </c>
      <c r="AP269" s="137">
        <f t="shared" ca="1" si="82"/>
        <v>0</v>
      </c>
      <c r="AQ269" s="137">
        <f t="shared" si="83"/>
        <v>0</v>
      </c>
      <c r="AR269" s="236">
        <f t="shared" ca="1" si="84"/>
        <v>0</v>
      </c>
      <c r="AT269" s="241">
        <f t="shared" ca="1" si="85"/>
        <v>28</v>
      </c>
      <c r="AV269" s="222">
        <f t="shared" ca="1" si="86"/>
        <v>0</v>
      </c>
      <c r="AW269" s="247">
        <f t="shared" si="87"/>
        <v>91</v>
      </c>
      <c r="AY269" s="239">
        <f ca="1">(AE269=5)*('  B  '!F$110=1)*OR(AND(AND(A269&gt;=S$220,A269&gt;=I$214),AND(A269&lt;=S$221,A269&lt;=I$215)),AND(AND(A269&gt;=S$230,A269&gt;=I$224),AND(A269&lt;=S$231,A269&lt;=I$225)),AND(AND(A269&gt;=S$240,A269&gt;=I$234),AND(A269&lt;=S$241,A269&lt;=I$235)))</f>
        <v>0</v>
      </c>
      <c r="BA269" s="222">
        <f t="shared" ca="1" si="88"/>
        <v>0</v>
      </c>
      <c r="BB269" s="55">
        <f t="shared" ca="1" si="89"/>
        <v>0</v>
      </c>
      <c r="BC269" s="247">
        <f t="shared" si="90"/>
        <v>184</v>
      </c>
      <c r="BE269" s="239">
        <f t="shared" ca="1" si="91"/>
        <v>0</v>
      </c>
      <c r="BG269" s="239">
        <f t="shared" ca="1" si="92"/>
        <v>0</v>
      </c>
      <c r="BI269" s="222"/>
      <c r="BJ269" s="137">
        <v>0</v>
      </c>
      <c r="BK269" s="137">
        <v>0</v>
      </c>
      <c r="BL269" s="137">
        <f t="shared" ca="1" si="93"/>
        <v>1</v>
      </c>
      <c r="BM269" s="137">
        <f t="shared" ca="1" si="94"/>
        <v>1</v>
      </c>
      <c r="BN269" s="137">
        <f ca="1">(A269&gt;=N_LFP_Startdatum)*IF('  B  '!F$110=1,NOT(OR(A269&gt;S$221,A269&gt;S$231,A269&gt;S$241)),IF(BB269&gt;BC269,0,1))</f>
        <v>1</v>
      </c>
      <c r="BO269" s="137">
        <f t="shared" ca="1" si="95"/>
        <v>1</v>
      </c>
      <c r="BP269" s="137">
        <v>0</v>
      </c>
      <c r="BQ269" s="137">
        <f t="shared" ca="1" si="96"/>
        <v>1</v>
      </c>
      <c r="BR269" s="653">
        <v>0</v>
      </c>
      <c r="BS269" s="224">
        <f ca="1">(A269&gt;=N_LFP_Startdatum)*IF('  B  '!F$110=1,NOT(OR(A269&gt;S$221,A269&gt;S$231,A269&gt;S$241)),IF(BB269&gt;BC269,0,1))</f>
        <v>1</v>
      </c>
      <c r="BU269" s="562">
        <f t="shared" ca="1" si="97"/>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8"/>
        <v>0</v>
      </c>
      <c r="CA269" s="156">
        <f t="shared" ca="1" si="99"/>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0"/>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1"/>
        <v>0</v>
      </c>
      <c r="CL269" s="270">
        <f t="shared" ca="1" si="102"/>
        <v>0</v>
      </c>
      <c r="CM269" s="265">
        <f t="shared" ca="1" si="103"/>
        <v>0</v>
      </c>
      <c r="CO269" s="222"/>
      <c r="CP269" s="137">
        <v>0</v>
      </c>
      <c r="CQ269" s="137">
        <v>0</v>
      </c>
      <c r="CR269" s="137">
        <v>0</v>
      </c>
      <c r="CS269" s="137">
        <f t="shared" ca="1" si="104"/>
        <v>0</v>
      </c>
      <c r="CT269" s="137">
        <f t="shared" ca="1" si="105"/>
        <v>0</v>
      </c>
      <c r="CU269" s="137">
        <f t="shared" ca="1" si="106"/>
        <v>0</v>
      </c>
      <c r="CV269" s="137">
        <v>0</v>
      </c>
      <c r="CW269" s="137">
        <f t="shared" ca="1" si="107"/>
        <v>0</v>
      </c>
      <c r="CX269" s="137">
        <v>0</v>
      </c>
      <c r="CY269" s="224">
        <f t="shared" ca="1" si="108"/>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09"/>
        <v>0</v>
      </c>
      <c r="DF269" s="279">
        <f t="shared" ca="1" si="110"/>
        <v>0</v>
      </c>
      <c r="DG269" s="280">
        <f t="shared" ca="1" si="111"/>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4"/>
        <v>0</v>
      </c>
      <c r="DN269" s="279">
        <f t="shared" ca="1" si="115"/>
        <v>0</v>
      </c>
      <c r="DO269" s="279">
        <f t="shared" ca="1" si="116"/>
        <v>0</v>
      </c>
    </row>
    <row r="270" spans="1:119" x14ac:dyDescent="0.25">
      <c r="A270" s="153">
        <f t="shared" si="112"/>
        <v>45358</v>
      </c>
      <c r="B270" s="154"/>
      <c r="C270" s="154"/>
      <c r="D270" s="154"/>
      <c r="E270" s="875" t="str">
        <f t="shared" ca="1" si="56"/>
        <v/>
      </c>
      <c r="F270" s="876"/>
      <c r="G270" s="667">
        <f t="shared" ca="1" si="113"/>
        <v>0</v>
      </c>
      <c r="H270" s="667">
        <f t="shared" ca="1" si="57"/>
        <v>0</v>
      </c>
      <c r="I270" s="667">
        <f t="shared" ca="1" si="58"/>
        <v>0</v>
      </c>
      <c r="P270" s="151">
        <f t="shared" si="59"/>
        <v>125</v>
      </c>
      <c r="R270" s="55">
        <f t="shared" si="60"/>
        <v>0</v>
      </c>
      <c r="S270" s="55">
        <f t="shared" si="61"/>
        <v>1</v>
      </c>
      <c r="U270" s="226">
        <f t="shared" si="62"/>
        <v>0</v>
      </c>
      <c r="V270" s="137">
        <f t="shared" ca="1" si="63"/>
        <v>0</v>
      </c>
      <c r="W270" s="137">
        <f t="shared" si="64"/>
        <v>0</v>
      </c>
      <c r="X270" s="137">
        <f t="shared" si="65"/>
        <v>0</v>
      </c>
      <c r="Y270" s="137">
        <f t="shared" ca="1" si="66"/>
        <v>0</v>
      </c>
      <c r="Z270" s="137">
        <f t="shared" ca="1" si="67"/>
        <v>0</v>
      </c>
      <c r="AA270" s="137">
        <f t="shared" ca="1" si="68"/>
        <v>0</v>
      </c>
      <c r="AB270" s="137">
        <f t="shared" ca="1" si="69"/>
        <v>0</v>
      </c>
      <c r="AC270" s="137">
        <f t="shared" ca="1" si="70"/>
        <v>0</v>
      </c>
      <c r="AD270" s="137">
        <f t="shared" ca="1" si="71"/>
        <v>0</v>
      </c>
      <c r="AE270" s="223">
        <f t="shared" ca="1" si="72"/>
        <v>0</v>
      </c>
      <c r="AF270" s="229" t="str">
        <f t="shared" ca="1" si="73"/>
        <v/>
      </c>
      <c r="AH270" s="235">
        <f t="shared" si="74"/>
        <v>45358</v>
      </c>
      <c r="AI270" s="137">
        <f t="shared" ca="1" si="75"/>
        <v>0</v>
      </c>
      <c r="AJ270" s="137">
        <f t="shared" si="76"/>
        <v>0</v>
      </c>
      <c r="AK270" s="137">
        <f t="shared" ca="1" si="77"/>
        <v>0</v>
      </c>
      <c r="AL270" s="137">
        <f t="shared" ca="1" si="78"/>
        <v>0</v>
      </c>
      <c r="AM270" s="137">
        <f t="shared" si="79"/>
        <v>0</v>
      </c>
      <c r="AN270" s="137">
        <f t="shared" ca="1" si="80"/>
        <v>0</v>
      </c>
      <c r="AO270" s="137">
        <f t="shared" ca="1" si="81"/>
        <v>0</v>
      </c>
      <c r="AP270" s="137">
        <f t="shared" ca="1" si="82"/>
        <v>0</v>
      </c>
      <c r="AQ270" s="137">
        <f t="shared" si="83"/>
        <v>0</v>
      </c>
      <c r="AR270" s="236">
        <f t="shared" ca="1" si="84"/>
        <v>0</v>
      </c>
      <c r="AT270" s="241">
        <f t="shared" ca="1" si="85"/>
        <v>28</v>
      </c>
      <c r="AV270" s="222">
        <f t="shared" ca="1" si="86"/>
        <v>0</v>
      </c>
      <c r="AW270" s="247">
        <f t="shared" si="87"/>
        <v>91</v>
      </c>
      <c r="AY270" s="239">
        <f ca="1">(AE270=5)*('  B  '!F$110=1)*OR(AND(AND(A270&gt;=S$220,A270&gt;=I$214),AND(A270&lt;=S$221,A270&lt;=I$215)),AND(AND(A270&gt;=S$230,A270&gt;=I$224),AND(A270&lt;=S$231,A270&lt;=I$225)),AND(AND(A270&gt;=S$240,A270&gt;=I$234),AND(A270&lt;=S$241,A270&lt;=I$235)))</f>
        <v>0</v>
      </c>
      <c r="BA270" s="222">
        <f t="shared" ca="1" si="88"/>
        <v>0</v>
      </c>
      <c r="BB270" s="55">
        <f t="shared" ca="1" si="89"/>
        <v>0</v>
      </c>
      <c r="BC270" s="247">
        <f t="shared" si="90"/>
        <v>184</v>
      </c>
      <c r="BE270" s="239">
        <f t="shared" ca="1" si="91"/>
        <v>0</v>
      </c>
      <c r="BG270" s="239">
        <f t="shared" ca="1" si="92"/>
        <v>0</v>
      </c>
      <c r="BI270" s="222"/>
      <c r="BJ270" s="137">
        <v>0</v>
      </c>
      <c r="BK270" s="137">
        <v>0</v>
      </c>
      <c r="BL270" s="137">
        <f t="shared" ca="1" si="93"/>
        <v>1</v>
      </c>
      <c r="BM270" s="137">
        <f t="shared" ca="1" si="94"/>
        <v>1</v>
      </c>
      <c r="BN270" s="137">
        <f ca="1">(A270&gt;=N_LFP_Startdatum)*IF('  B  '!F$110=1,NOT(OR(A270&gt;S$221,A270&gt;S$231,A270&gt;S$241)),IF(BB270&gt;BC270,0,1))</f>
        <v>1</v>
      </c>
      <c r="BO270" s="137">
        <f t="shared" ca="1" si="95"/>
        <v>1</v>
      </c>
      <c r="BP270" s="137">
        <v>0</v>
      </c>
      <c r="BQ270" s="137">
        <f t="shared" ca="1" si="96"/>
        <v>1</v>
      </c>
      <c r="BR270" s="653">
        <v>0</v>
      </c>
      <c r="BS270" s="224">
        <f ca="1">(A270&gt;=N_LFP_Startdatum)*IF('  B  '!F$110=1,NOT(OR(A270&gt;S$221,A270&gt;S$231,A270&gt;S$241)),IF(BB270&gt;BC270,0,1))</f>
        <v>1</v>
      </c>
      <c r="BU270" s="562">
        <f t="shared" ca="1" si="97"/>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8"/>
        <v>0</v>
      </c>
      <c r="CA270" s="156">
        <f t="shared" ca="1" si="99"/>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0"/>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1"/>
        <v>0</v>
      </c>
      <c r="CL270" s="270">
        <f t="shared" ca="1" si="102"/>
        <v>0</v>
      </c>
      <c r="CM270" s="265">
        <f t="shared" ca="1" si="103"/>
        <v>0</v>
      </c>
      <c r="CO270" s="222"/>
      <c r="CP270" s="137">
        <v>0</v>
      </c>
      <c r="CQ270" s="137">
        <v>0</v>
      </c>
      <c r="CR270" s="137">
        <v>0</v>
      </c>
      <c r="CS270" s="137">
        <f t="shared" ca="1" si="104"/>
        <v>0</v>
      </c>
      <c r="CT270" s="137">
        <f t="shared" ca="1" si="105"/>
        <v>0</v>
      </c>
      <c r="CU270" s="137">
        <f t="shared" ca="1" si="106"/>
        <v>0</v>
      </c>
      <c r="CV270" s="137">
        <v>0</v>
      </c>
      <c r="CW270" s="137">
        <f t="shared" ca="1" si="107"/>
        <v>0</v>
      </c>
      <c r="CX270" s="137">
        <v>0</v>
      </c>
      <c r="CY270" s="224">
        <f t="shared" ca="1" si="108"/>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09"/>
        <v>0</v>
      </c>
      <c r="DF270" s="279">
        <f t="shared" ca="1" si="110"/>
        <v>0</v>
      </c>
      <c r="DG270" s="280">
        <f t="shared" ca="1" si="111"/>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4"/>
        <v>0</v>
      </c>
      <c r="DN270" s="279">
        <f t="shared" ca="1" si="115"/>
        <v>0</v>
      </c>
      <c r="DO270" s="279">
        <f t="shared" ca="1" si="116"/>
        <v>0</v>
      </c>
    </row>
    <row r="271" spans="1:119" x14ac:dyDescent="0.25">
      <c r="A271" s="153">
        <f t="shared" si="112"/>
        <v>45359</v>
      </c>
      <c r="B271" s="154"/>
      <c r="C271" s="154"/>
      <c r="D271" s="154"/>
      <c r="E271" s="875" t="str">
        <f t="shared" ca="1" si="56"/>
        <v/>
      </c>
      <c r="F271" s="876"/>
      <c r="G271" s="667">
        <f t="shared" ca="1" si="113"/>
        <v>0</v>
      </c>
      <c r="H271" s="667">
        <f t="shared" ca="1" si="57"/>
        <v>0</v>
      </c>
      <c r="I271" s="667">
        <f t="shared" ca="1" si="58"/>
        <v>0</v>
      </c>
      <c r="P271" s="151">
        <f t="shared" si="59"/>
        <v>125</v>
      </c>
      <c r="R271" s="55">
        <f t="shared" si="60"/>
        <v>0</v>
      </c>
      <c r="S271" s="55">
        <f t="shared" si="61"/>
        <v>1</v>
      </c>
      <c r="U271" s="226">
        <f t="shared" si="62"/>
        <v>0</v>
      </c>
      <c r="V271" s="137">
        <f t="shared" ca="1" si="63"/>
        <v>0</v>
      </c>
      <c r="W271" s="137">
        <f t="shared" si="64"/>
        <v>0</v>
      </c>
      <c r="X271" s="137">
        <f t="shared" si="65"/>
        <v>0</v>
      </c>
      <c r="Y271" s="137">
        <f t="shared" ca="1" si="66"/>
        <v>0</v>
      </c>
      <c r="Z271" s="137">
        <f t="shared" ca="1" si="67"/>
        <v>0</v>
      </c>
      <c r="AA271" s="137">
        <f t="shared" ca="1" si="68"/>
        <v>0</v>
      </c>
      <c r="AB271" s="137">
        <f t="shared" ca="1" si="69"/>
        <v>0</v>
      </c>
      <c r="AC271" s="137">
        <f t="shared" ca="1" si="70"/>
        <v>0</v>
      </c>
      <c r="AD271" s="137">
        <f t="shared" ca="1" si="71"/>
        <v>0</v>
      </c>
      <c r="AE271" s="223">
        <f t="shared" ca="1" si="72"/>
        <v>0</v>
      </c>
      <c r="AF271" s="229" t="str">
        <f t="shared" ca="1" si="73"/>
        <v/>
      </c>
      <c r="AH271" s="235">
        <f t="shared" si="74"/>
        <v>45359</v>
      </c>
      <c r="AI271" s="137">
        <f t="shared" ca="1" si="75"/>
        <v>0</v>
      </c>
      <c r="AJ271" s="137">
        <f t="shared" si="76"/>
        <v>0</v>
      </c>
      <c r="AK271" s="137">
        <f t="shared" ca="1" si="77"/>
        <v>0</v>
      </c>
      <c r="AL271" s="137">
        <f t="shared" ca="1" si="78"/>
        <v>0</v>
      </c>
      <c r="AM271" s="137">
        <f t="shared" si="79"/>
        <v>0</v>
      </c>
      <c r="AN271" s="137">
        <f t="shared" ca="1" si="80"/>
        <v>0</v>
      </c>
      <c r="AO271" s="137">
        <f t="shared" ca="1" si="81"/>
        <v>0</v>
      </c>
      <c r="AP271" s="137">
        <f t="shared" ca="1" si="82"/>
        <v>0</v>
      </c>
      <c r="AQ271" s="137">
        <f t="shared" si="83"/>
        <v>0</v>
      </c>
      <c r="AR271" s="236">
        <f t="shared" ca="1" si="84"/>
        <v>0</v>
      </c>
      <c r="AT271" s="241">
        <f t="shared" ca="1" si="85"/>
        <v>28</v>
      </c>
      <c r="AV271" s="222">
        <f t="shared" ca="1" si="86"/>
        <v>0</v>
      </c>
      <c r="AW271" s="247">
        <f t="shared" si="87"/>
        <v>91</v>
      </c>
      <c r="AY271" s="239">
        <f ca="1">(AE271=5)*('  B  '!F$110=1)*OR(AND(AND(A271&gt;=S$220,A271&gt;=I$214),AND(A271&lt;=S$221,A271&lt;=I$215)),AND(AND(A271&gt;=S$230,A271&gt;=I$224),AND(A271&lt;=S$231,A271&lt;=I$225)),AND(AND(A271&gt;=S$240,A271&gt;=I$234),AND(A271&lt;=S$241,A271&lt;=I$235)))</f>
        <v>0</v>
      </c>
      <c r="BA271" s="222">
        <f t="shared" ca="1" si="88"/>
        <v>0</v>
      </c>
      <c r="BB271" s="55">
        <f t="shared" ca="1" si="89"/>
        <v>0</v>
      </c>
      <c r="BC271" s="247">
        <f t="shared" si="90"/>
        <v>184</v>
      </c>
      <c r="BE271" s="239">
        <f t="shared" ca="1" si="91"/>
        <v>0</v>
      </c>
      <c r="BG271" s="239">
        <f t="shared" ca="1" si="92"/>
        <v>0</v>
      </c>
      <c r="BI271" s="222"/>
      <c r="BJ271" s="137">
        <v>0</v>
      </c>
      <c r="BK271" s="137">
        <v>0</v>
      </c>
      <c r="BL271" s="137">
        <f t="shared" ca="1" si="93"/>
        <v>1</v>
      </c>
      <c r="BM271" s="137">
        <f t="shared" ca="1" si="94"/>
        <v>1</v>
      </c>
      <c r="BN271" s="137">
        <f ca="1">(A271&gt;=N_LFP_Startdatum)*IF('  B  '!F$110=1,NOT(OR(A271&gt;S$221,A271&gt;S$231,A271&gt;S$241)),IF(BB271&gt;BC271,0,1))</f>
        <v>1</v>
      </c>
      <c r="BO271" s="137">
        <f t="shared" ca="1" si="95"/>
        <v>1</v>
      </c>
      <c r="BP271" s="137">
        <v>0</v>
      </c>
      <c r="BQ271" s="137">
        <f t="shared" ca="1" si="96"/>
        <v>1</v>
      </c>
      <c r="BR271" s="653">
        <v>0</v>
      </c>
      <c r="BS271" s="224">
        <f ca="1">(A271&gt;=N_LFP_Startdatum)*IF('  B  '!F$110=1,NOT(OR(A271&gt;S$221,A271&gt;S$231,A271&gt;S$241)),IF(BB271&gt;BC271,0,1))</f>
        <v>1</v>
      </c>
      <c r="BU271" s="562">
        <f t="shared" ca="1" si="97"/>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8"/>
        <v>0</v>
      </c>
      <c r="CA271" s="156">
        <f t="shared" ca="1" si="99"/>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0"/>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1"/>
        <v>0</v>
      </c>
      <c r="CL271" s="270">
        <f t="shared" ca="1" si="102"/>
        <v>0</v>
      </c>
      <c r="CM271" s="265">
        <f t="shared" ca="1" si="103"/>
        <v>0</v>
      </c>
      <c r="CO271" s="222"/>
      <c r="CP271" s="137">
        <v>0</v>
      </c>
      <c r="CQ271" s="137">
        <v>0</v>
      </c>
      <c r="CR271" s="137">
        <v>0</v>
      </c>
      <c r="CS271" s="137">
        <f t="shared" ca="1" si="104"/>
        <v>0</v>
      </c>
      <c r="CT271" s="137">
        <f t="shared" ca="1" si="105"/>
        <v>0</v>
      </c>
      <c r="CU271" s="137">
        <f t="shared" ca="1" si="106"/>
        <v>0</v>
      </c>
      <c r="CV271" s="137">
        <v>0</v>
      </c>
      <c r="CW271" s="137">
        <f t="shared" ca="1" si="107"/>
        <v>0</v>
      </c>
      <c r="CX271" s="137">
        <v>0</v>
      </c>
      <c r="CY271" s="224">
        <f t="shared" ca="1" si="108"/>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09"/>
        <v>0</v>
      </c>
      <c r="DF271" s="279">
        <f t="shared" ca="1" si="110"/>
        <v>0</v>
      </c>
      <c r="DG271" s="280">
        <f t="shared" ca="1" si="111"/>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4"/>
        <v>0</v>
      </c>
      <c r="DN271" s="279">
        <f t="shared" ca="1" si="115"/>
        <v>0</v>
      </c>
      <c r="DO271" s="279">
        <f t="shared" ca="1" si="116"/>
        <v>0</v>
      </c>
    </row>
    <row r="272" spans="1:119" x14ac:dyDescent="0.25">
      <c r="A272" s="153">
        <f t="shared" si="112"/>
        <v>45360</v>
      </c>
      <c r="B272" s="154"/>
      <c r="C272" s="154"/>
      <c r="D272" s="154"/>
      <c r="E272" s="875" t="str">
        <f t="shared" ca="1" si="56"/>
        <v/>
      </c>
      <c r="F272" s="876"/>
      <c r="G272" s="667">
        <f t="shared" ca="1" si="113"/>
        <v>0</v>
      </c>
      <c r="H272" s="667">
        <f t="shared" ca="1" si="57"/>
        <v>0</v>
      </c>
      <c r="I272" s="667">
        <f t="shared" ca="1" si="58"/>
        <v>0</v>
      </c>
      <c r="P272" s="151">
        <f t="shared" si="59"/>
        <v>125</v>
      </c>
      <c r="R272" s="55">
        <f t="shared" si="60"/>
        <v>0</v>
      </c>
      <c r="S272" s="55">
        <f t="shared" si="61"/>
        <v>1</v>
      </c>
      <c r="U272" s="226">
        <f t="shared" si="62"/>
        <v>0</v>
      </c>
      <c r="V272" s="137">
        <f t="shared" ca="1" si="63"/>
        <v>0</v>
      </c>
      <c r="W272" s="137">
        <f t="shared" si="64"/>
        <v>0</v>
      </c>
      <c r="X272" s="137">
        <f t="shared" si="65"/>
        <v>0</v>
      </c>
      <c r="Y272" s="137">
        <f t="shared" ca="1" si="66"/>
        <v>0</v>
      </c>
      <c r="Z272" s="137">
        <f t="shared" ca="1" si="67"/>
        <v>0</v>
      </c>
      <c r="AA272" s="137">
        <f t="shared" ca="1" si="68"/>
        <v>0</v>
      </c>
      <c r="AB272" s="137">
        <f t="shared" ca="1" si="69"/>
        <v>0</v>
      </c>
      <c r="AC272" s="137">
        <f t="shared" ca="1" si="70"/>
        <v>0</v>
      </c>
      <c r="AD272" s="137">
        <f t="shared" ca="1" si="71"/>
        <v>0</v>
      </c>
      <c r="AE272" s="223">
        <f t="shared" ca="1" si="72"/>
        <v>0</v>
      </c>
      <c r="AF272" s="229" t="str">
        <f t="shared" ca="1" si="73"/>
        <v/>
      </c>
      <c r="AH272" s="235">
        <f t="shared" si="74"/>
        <v>45360</v>
      </c>
      <c r="AI272" s="137">
        <f t="shared" ca="1" si="75"/>
        <v>0</v>
      </c>
      <c r="AJ272" s="137">
        <f t="shared" si="76"/>
        <v>0</v>
      </c>
      <c r="AK272" s="137">
        <f t="shared" ca="1" si="77"/>
        <v>0</v>
      </c>
      <c r="AL272" s="137">
        <f t="shared" ca="1" si="78"/>
        <v>0</v>
      </c>
      <c r="AM272" s="137">
        <f t="shared" si="79"/>
        <v>0</v>
      </c>
      <c r="AN272" s="137">
        <f t="shared" ca="1" si="80"/>
        <v>0</v>
      </c>
      <c r="AO272" s="137">
        <f t="shared" ca="1" si="81"/>
        <v>0</v>
      </c>
      <c r="AP272" s="137">
        <f t="shared" ca="1" si="82"/>
        <v>0</v>
      </c>
      <c r="AQ272" s="137">
        <f t="shared" si="83"/>
        <v>0</v>
      </c>
      <c r="AR272" s="236">
        <f t="shared" ca="1" si="84"/>
        <v>0</v>
      </c>
      <c r="AT272" s="241">
        <f t="shared" ca="1" si="85"/>
        <v>28</v>
      </c>
      <c r="AV272" s="222">
        <f t="shared" ca="1" si="86"/>
        <v>0</v>
      </c>
      <c r="AW272" s="247">
        <f t="shared" si="87"/>
        <v>91</v>
      </c>
      <c r="AY272" s="239">
        <f ca="1">(AE272=5)*('  B  '!F$110=1)*OR(AND(AND(A272&gt;=S$220,A272&gt;=I$214),AND(A272&lt;=S$221,A272&lt;=I$215)),AND(AND(A272&gt;=S$230,A272&gt;=I$224),AND(A272&lt;=S$231,A272&lt;=I$225)),AND(AND(A272&gt;=S$240,A272&gt;=I$234),AND(A272&lt;=S$241,A272&lt;=I$235)))</f>
        <v>0</v>
      </c>
      <c r="BA272" s="222">
        <f t="shared" ca="1" si="88"/>
        <v>0</v>
      </c>
      <c r="BB272" s="55">
        <f t="shared" ca="1" si="89"/>
        <v>0</v>
      </c>
      <c r="BC272" s="247">
        <f t="shared" si="90"/>
        <v>184</v>
      </c>
      <c r="BE272" s="239">
        <f t="shared" ca="1" si="91"/>
        <v>0</v>
      </c>
      <c r="BG272" s="239">
        <f t="shared" ca="1" si="92"/>
        <v>0</v>
      </c>
      <c r="BI272" s="222"/>
      <c r="BJ272" s="137">
        <v>0</v>
      </c>
      <c r="BK272" s="137">
        <v>0</v>
      </c>
      <c r="BL272" s="137">
        <f t="shared" ca="1" si="93"/>
        <v>1</v>
      </c>
      <c r="BM272" s="137">
        <f t="shared" ca="1" si="94"/>
        <v>1</v>
      </c>
      <c r="BN272" s="137">
        <f ca="1">(A272&gt;=N_LFP_Startdatum)*IF('  B  '!F$110=1,NOT(OR(A272&gt;S$221,A272&gt;S$231,A272&gt;S$241)),IF(BB272&gt;BC272,0,1))</f>
        <v>1</v>
      </c>
      <c r="BO272" s="137">
        <f t="shared" ca="1" si="95"/>
        <v>1</v>
      </c>
      <c r="BP272" s="137">
        <v>0</v>
      </c>
      <c r="BQ272" s="137">
        <f t="shared" ca="1" si="96"/>
        <v>1</v>
      </c>
      <c r="BR272" s="653">
        <v>0</v>
      </c>
      <c r="BS272" s="224">
        <f ca="1">(A272&gt;=N_LFP_Startdatum)*IF('  B  '!F$110=1,NOT(OR(A272&gt;S$221,A272&gt;S$231,A272&gt;S$241)),IF(BB272&gt;BC272,0,1))</f>
        <v>1</v>
      </c>
      <c r="BU272" s="562">
        <f t="shared" ca="1" si="97"/>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8"/>
        <v>0</v>
      </c>
      <c r="CA272" s="156">
        <f t="shared" ca="1" si="99"/>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0"/>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1"/>
        <v>0</v>
      </c>
      <c r="CL272" s="270">
        <f t="shared" ca="1" si="102"/>
        <v>0</v>
      </c>
      <c r="CM272" s="265">
        <f t="shared" ca="1" si="103"/>
        <v>0</v>
      </c>
      <c r="CO272" s="222"/>
      <c r="CP272" s="137">
        <v>0</v>
      </c>
      <c r="CQ272" s="137">
        <v>0</v>
      </c>
      <c r="CR272" s="137">
        <v>0</v>
      </c>
      <c r="CS272" s="137">
        <f t="shared" ca="1" si="104"/>
        <v>0</v>
      </c>
      <c r="CT272" s="137">
        <f t="shared" ca="1" si="105"/>
        <v>0</v>
      </c>
      <c r="CU272" s="137">
        <f t="shared" ca="1" si="106"/>
        <v>0</v>
      </c>
      <c r="CV272" s="137">
        <v>0</v>
      </c>
      <c r="CW272" s="137">
        <f t="shared" ca="1" si="107"/>
        <v>0</v>
      </c>
      <c r="CX272" s="137">
        <v>0</v>
      </c>
      <c r="CY272" s="224">
        <f t="shared" ca="1" si="108"/>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09"/>
        <v>0</v>
      </c>
      <c r="DF272" s="279">
        <f t="shared" ca="1" si="110"/>
        <v>0</v>
      </c>
      <c r="DG272" s="280">
        <f t="shared" ca="1" si="111"/>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4"/>
        <v>0</v>
      </c>
      <c r="DN272" s="279">
        <f t="shared" ca="1" si="115"/>
        <v>0</v>
      </c>
      <c r="DO272" s="279">
        <f t="shared" ca="1" si="116"/>
        <v>0</v>
      </c>
    </row>
    <row r="273" spans="1:119" x14ac:dyDescent="0.25">
      <c r="A273" s="153">
        <f t="shared" si="112"/>
        <v>45361</v>
      </c>
      <c r="B273" s="154"/>
      <c r="C273" s="154"/>
      <c r="D273" s="154"/>
      <c r="E273" s="875" t="str">
        <f t="shared" ca="1" si="56"/>
        <v/>
      </c>
      <c r="F273" s="876"/>
      <c r="G273" s="667">
        <f ca="1">MAX(0,(N_ArbeitsstundenSollProKT*BU273-BV273)*OFFSET(BI273,0,AE273,1,1))</f>
        <v>0</v>
      </c>
      <c r="H273" s="667">
        <f t="shared" ca="1" si="57"/>
        <v>0</v>
      </c>
      <c r="I273" s="667">
        <f t="shared" ca="1" si="58"/>
        <v>0</v>
      </c>
      <c r="P273" s="151">
        <f t="shared" si="59"/>
        <v>125</v>
      </c>
      <c r="R273" s="55">
        <f t="shared" si="60"/>
        <v>0</v>
      </c>
      <c r="S273" s="55">
        <f t="shared" si="61"/>
        <v>1</v>
      </c>
      <c r="U273" s="226">
        <f t="shared" si="62"/>
        <v>0</v>
      </c>
      <c r="V273" s="137">
        <f t="shared" ca="1" si="63"/>
        <v>0</v>
      </c>
      <c r="W273" s="137">
        <f t="shared" si="64"/>
        <v>0</v>
      </c>
      <c r="X273" s="137">
        <f t="shared" si="65"/>
        <v>0</v>
      </c>
      <c r="Y273" s="137">
        <f t="shared" ca="1" si="66"/>
        <v>0</v>
      </c>
      <c r="Z273" s="137">
        <f t="shared" ca="1" si="67"/>
        <v>0</v>
      </c>
      <c r="AA273" s="137">
        <f t="shared" ca="1" si="68"/>
        <v>0</v>
      </c>
      <c r="AB273" s="137">
        <f t="shared" ca="1" si="69"/>
        <v>0</v>
      </c>
      <c r="AC273" s="137">
        <f t="shared" ca="1" si="70"/>
        <v>0</v>
      </c>
      <c r="AD273" s="137">
        <f t="shared" ca="1" si="71"/>
        <v>0</v>
      </c>
      <c r="AE273" s="223">
        <f t="shared" ca="1" si="72"/>
        <v>0</v>
      </c>
      <c r="AF273" s="229" t="str">
        <f t="shared" ca="1" si="73"/>
        <v/>
      </c>
      <c r="AH273" s="235">
        <f t="shared" si="74"/>
        <v>45361</v>
      </c>
      <c r="AI273" s="137">
        <f t="shared" ca="1" si="75"/>
        <v>0</v>
      </c>
      <c r="AJ273" s="137">
        <f t="shared" si="76"/>
        <v>0</v>
      </c>
      <c r="AK273" s="137">
        <f t="shared" ca="1" si="77"/>
        <v>0</v>
      </c>
      <c r="AL273" s="137">
        <f t="shared" ca="1" si="78"/>
        <v>0</v>
      </c>
      <c r="AM273" s="137">
        <f t="shared" si="79"/>
        <v>0</v>
      </c>
      <c r="AN273" s="137">
        <f t="shared" ca="1" si="80"/>
        <v>0</v>
      </c>
      <c r="AO273" s="137">
        <f t="shared" ca="1" si="81"/>
        <v>0</v>
      </c>
      <c r="AP273" s="137">
        <f t="shared" ca="1" si="82"/>
        <v>0</v>
      </c>
      <c r="AQ273" s="137">
        <f t="shared" si="83"/>
        <v>0</v>
      </c>
      <c r="AR273" s="236">
        <f t="shared" ca="1" si="84"/>
        <v>0</v>
      </c>
      <c r="AT273" s="241">
        <f t="shared" ca="1" si="85"/>
        <v>28</v>
      </c>
      <c r="AV273" s="222">
        <f t="shared" ca="1" si="86"/>
        <v>0</v>
      </c>
      <c r="AW273" s="247">
        <f t="shared" si="87"/>
        <v>91</v>
      </c>
      <c r="AY273" s="239">
        <f ca="1">(AE273=5)*('  B  '!F$110=1)*OR(AND(AND(A273&gt;=S$220,A273&gt;=I$214),AND(A273&lt;=S$221,A273&lt;=I$215)),AND(AND(A273&gt;=S$230,A273&gt;=I$224),AND(A273&lt;=S$231,A273&lt;=I$225)),AND(AND(A273&gt;=S$240,A273&gt;=I$234),AND(A273&lt;=S$241,A273&lt;=I$235)))</f>
        <v>0</v>
      </c>
      <c r="BA273" s="222">
        <f t="shared" ca="1" si="88"/>
        <v>0</v>
      </c>
      <c r="BB273" s="55">
        <f t="shared" ca="1" si="89"/>
        <v>0</v>
      </c>
      <c r="BC273" s="247">
        <f t="shared" si="90"/>
        <v>184</v>
      </c>
      <c r="BE273" s="239">
        <f t="shared" ca="1" si="91"/>
        <v>0</v>
      </c>
      <c r="BG273" s="239">
        <f t="shared" ca="1" si="92"/>
        <v>0</v>
      </c>
      <c r="BI273" s="222"/>
      <c r="BJ273" s="137">
        <v>0</v>
      </c>
      <c r="BK273" s="137">
        <v>0</v>
      </c>
      <c r="BL273" s="137">
        <f t="shared" ca="1" si="93"/>
        <v>1</v>
      </c>
      <c r="BM273" s="137">
        <f t="shared" ca="1" si="94"/>
        <v>1</v>
      </c>
      <c r="BN273" s="137">
        <f ca="1">(A273&gt;=N_LFP_Startdatum)*IF('  B  '!F$110=1,NOT(OR(A273&gt;S$221,A273&gt;S$231,A273&gt;S$241)),IF(BB273&gt;BC273,0,1))</f>
        <v>1</v>
      </c>
      <c r="BO273" s="137">
        <f t="shared" ca="1" si="95"/>
        <v>1</v>
      </c>
      <c r="BP273" s="137">
        <v>0</v>
      </c>
      <c r="BQ273" s="137">
        <f t="shared" ca="1" si="96"/>
        <v>1</v>
      </c>
      <c r="BR273" s="653">
        <v>0</v>
      </c>
      <c r="BS273" s="224">
        <f ca="1">(A273&gt;=N_LFP_Startdatum)*IF('  B  '!F$110=1,NOT(OR(A273&gt;S$221,A273&gt;S$231,A273&gt;S$241)),IF(BB273&gt;BC273,0,1))</f>
        <v>1</v>
      </c>
      <c r="BU273" s="562">
        <f t="shared" ca="1" si="97"/>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8"/>
        <v>0</v>
      </c>
      <c r="CA273" s="156">
        <f t="shared" ca="1" si="99"/>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0"/>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1"/>
        <v>0</v>
      </c>
      <c r="CL273" s="270">
        <f t="shared" ca="1" si="102"/>
        <v>0</v>
      </c>
      <c r="CM273" s="265">
        <f t="shared" ca="1" si="103"/>
        <v>0</v>
      </c>
      <c r="CO273" s="222"/>
      <c r="CP273" s="137">
        <v>0</v>
      </c>
      <c r="CQ273" s="137">
        <v>0</v>
      </c>
      <c r="CR273" s="137">
        <v>0</v>
      </c>
      <c r="CS273" s="137">
        <f t="shared" ca="1" si="104"/>
        <v>0</v>
      </c>
      <c r="CT273" s="137">
        <f t="shared" ca="1" si="105"/>
        <v>0</v>
      </c>
      <c r="CU273" s="137">
        <f t="shared" ca="1" si="106"/>
        <v>0</v>
      </c>
      <c r="CV273" s="137">
        <v>0</v>
      </c>
      <c r="CW273" s="137">
        <f t="shared" ca="1" si="107"/>
        <v>0</v>
      </c>
      <c r="CX273" s="137">
        <v>0</v>
      </c>
      <c r="CY273" s="224">
        <f t="shared" ca="1" si="108"/>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09"/>
        <v>0</v>
      </c>
      <c r="DF273" s="279">
        <f t="shared" ca="1" si="110"/>
        <v>0</v>
      </c>
      <c r="DG273" s="280">
        <f t="shared" ca="1" si="111"/>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4"/>
        <v>0</v>
      </c>
      <c r="DN273" s="279">
        <f t="shared" ca="1" si="115"/>
        <v>0</v>
      </c>
      <c r="DO273" s="279">
        <f t="shared" ca="1" si="116"/>
        <v>0</v>
      </c>
    </row>
    <row r="274" spans="1:119" x14ac:dyDescent="0.25">
      <c r="A274" s="153">
        <f t="shared" si="112"/>
        <v>45362</v>
      </c>
      <c r="B274" s="154"/>
      <c r="C274" s="154"/>
      <c r="D274" s="154"/>
      <c r="E274" s="875" t="str">
        <f t="shared" ca="1" si="56"/>
        <v/>
      </c>
      <c r="F274" s="876"/>
      <c r="G274" s="667">
        <f t="shared" ca="1" si="113"/>
        <v>0</v>
      </c>
      <c r="H274" s="667">
        <f t="shared" ca="1" si="57"/>
        <v>0</v>
      </c>
      <c r="I274" s="667">
        <f t="shared" ca="1" si="58"/>
        <v>0</v>
      </c>
      <c r="P274" s="151">
        <f t="shared" si="59"/>
        <v>125</v>
      </c>
      <c r="R274" s="55">
        <f t="shared" si="60"/>
        <v>0</v>
      </c>
      <c r="S274" s="55">
        <f t="shared" si="61"/>
        <v>1</v>
      </c>
      <c r="U274" s="226">
        <f t="shared" si="62"/>
        <v>0</v>
      </c>
      <c r="V274" s="137">
        <f t="shared" ca="1" si="63"/>
        <v>0</v>
      </c>
      <c r="W274" s="137">
        <f t="shared" si="64"/>
        <v>0</v>
      </c>
      <c r="X274" s="137">
        <f t="shared" si="65"/>
        <v>0</v>
      </c>
      <c r="Y274" s="137">
        <f t="shared" ca="1" si="66"/>
        <v>0</v>
      </c>
      <c r="Z274" s="137">
        <f t="shared" ca="1" si="67"/>
        <v>0</v>
      </c>
      <c r="AA274" s="137">
        <f t="shared" ca="1" si="68"/>
        <v>0</v>
      </c>
      <c r="AB274" s="137">
        <f t="shared" ca="1" si="69"/>
        <v>0</v>
      </c>
      <c r="AC274" s="137">
        <f t="shared" ca="1" si="70"/>
        <v>0</v>
      </c>
      <c r="AD274" s="137">
        <f t="shared" ca="1" si="71"/>
        <v>0</v>
      </c>
      <c r="AE274" s="223">
        <f t="shared" ca="1" si="72"/>
        <v>0</v>
      </c>
      <c r="AF274" s="229" t="str">
        <f t="shared" ca="1" si="73"/>
        <v/>
      </c>
      <c r="AH274" s="235">
        <f t="shared" si="74"/>
        <v>45362</v>
      </c>
      <c r="AI274" s="137">
        <f t="shared" ca="1" si="75"/>
        <v>0</v>
      </c>
      <c r="AJ274" s="137">
        <f t="shared" si="76"/>
        <v>0</v>
      </c>
      <c r="AK274" s="137">
        <f t="shared" ca="1" si="77"/>
        <v>0</v>
      </c>
      <c r="AL274" s="137">
        <f t="shared" ca="1" si="78"/>
        <v>0</v>
      </c>
      <c r="AM274" s="137">
        <f t="shared" si="79"/>
        <v>0</v>
      </c>
      <c r="AN274" s="137">
        <f t="shared" ca="1" si="80"/>
        <v>0</v>
      </c>
      <c r="AO274" s="137">
        <f t="shared" ca="1" si="81"/>
        <v>0</v>
      </c>
      <c r="AP274" s="137">
        <f t="shared" ca="1" si="82"/>
        <v>0</v>
      </c>
      <c r="AQ274" s="137">
        <f t="shared" si="83"/>
        <v>0</v>
      </c>
      <c r="AR274" s="236">
        <f t="shared" ca="1" si="84"/>
        <v>0</v>
      </c>
      <c r="AT274" s="241">
        <f t="shared" ca="1" si="85"/>
        <v>28</v>
      </c>
      <c r="AV274" s="222">
        <f t="shared" ca="1" si="86"/>
        <v>0</v>
      </c>
      <c r="AW274" s="247">
        <f t="shared" si="87"/>
        <v>91</v>
      </c>
      <c r="AY274" s="239">
        <f ca="1">(AE274=5)*('  B  '!F$110=1)*OR(AND(AND(A274&gt;=S$220,A274&gt;=I$214),AND(A274&lt;=S$221,A274&lt;=I$215)),AND(AND(A274&gt;=S$230,A274&gt;=I$224),AND(A274&lt;=S$231,A274&lt;=I$225)),AND(AND(A274&gt;=S$240,A274&gt;=I$234),AND(A274&lt;=S$241,A274&lt;=I$235)))</f>
        <v>0</v>
      </c>
      <c r="BA274" s="222">
        <f t="shared" ca="1" si="88"/>
        <v>0</v>
      </c>
      <c r="BB274" s="55">
        <f t="shared" ca="1" si="89"/>
        <v>0</v>
      </c>
      <c r="BC274" s="247">
        <f t="shared" si="90"/>
        <v>184</v>
      </c>
      <c r="BE274" s="239">
        <f t="shared" ca="1" si="91"/>
        <v>0</v>
      </c>
      <c r="BG274" s="239">
        <f t="shared" ca="1" si="92"/>
        <v>0</v>
      </c>
      <c r="BI274" s="222"/>
      <c r="BJ274" s="137">
        <v>0</v>
      </c>
      <c r="BK274" s="137">
        <v>0</v>
      </c>
      <c r="BL274" s="137">
        <f t="shared" ca="1" si="93"/>
        <v>1</v>
      </c>
      <c r="BM274" s="137">
        <f t="shared" ca="1" si="94"/>
        <v>1</v>
      </c>
      <c r="BN274" s="137">
        <f ca="1">(A274&gt;=N_LFP_Startdatum)*IF('  B  '!F$110=1,NOT(OR(A274&gt;S$221,A274&gt;S$231,A274&gt;S$241)),IF(BB274&gt;BC274,0,1))</f>
        <v>1</v>
      </c>
      <c r="BO274" s="137">
        <f t="shared" ca="1" si="95"/>
        <v>1</v>
      </c>
      <c r="BP274" s="137">
        <v>0</v>
      </c>
      <c r="BQ274" s="137">
        <f t="shared" ca="1" si="96"/>
        <v>1</v>
      </c>
      <c r="BR274" s="653">
        <v>0</v>
      </c>
      <c r="BS274" s="224">
        <f ca="1">(A274&gt;=N_LFP_Startdatum)*IF('  B  '!F$110=1,NOT(OR(A274&gt;S$221,A274&gt;S$231,A274&gt;S$241)),IF(BB274&gt;BC274,0,1))</f>
        <v>1</v>
      </c>
      <c r="BU274" s="562">
        <f t="shared" ca="1" si="97"/>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8"/>
        <v>0</v>
      </c>
      <c r="CA274" s="156">
        <f t="shared" ca="1" si="99"/>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0"/>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1"/>
        <v>0</v>
      </c>
      <c r="CL274" s="270">
        <f t="shared" ca="1" si="102"/>
        <v>0</v>
      </c>
      <c r="CM274" s="265">
        <f t="shared" ca="1" si="103"/>
        <v>0</v>
      </c>
      <c r="CO274" s="222"/>
      <c r="CP274" s="137">
        <v>0</v>
      </c>
      <c r="CQ274" s="137">
        <v>0</v>
      </c>
      <c r="CR274" s="137">
        <v>0</v>
      </c>
      <c r="CS274" s="137">
        <f t="shared" ca="1" si="104"/>
        <v>0</v>
      </c>
      <c r="CT274" s="137">
        <f t="shared" ca="1" si="105"/>
        <v>0</v>
      </c>
      <c r="CU274" s="137">
        <f t="shared" ca="1" si="106"/>
        <v>0</v>
      </c>
      <c r="CV274" s="137">
        <v>0</v>
      </c>
      <c r="CW274" s="137">
        <f t="shared" ca="1" si="107"/>
        <v>0</v>
      </c>
      <c r="CX274" s="137">
        <v>0</v>
      </c>
      <c r="CY274" s="224">
        <f t="shared" ca="1" si="108"/>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09"/>
        <v>0</v>
      </c>
      <c r="DF274" s="279">
        <f t="shared" ca="1" si="110"/>
        <v>0</v>
      </c>
      <c r="DG274" s="280">
        <f t="shared" ca="1" si="111"/>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4"/>
        <v>0</v>
      </c>
      <c r="DN274" s="279">
        <f t="shared" ca="1" si="115"/>
        <v>0</v>
      </c>
      <c r="DO274" s="279">
        <f t="shared" ca="1" si="116"/>
        <v>0</v>
      </c>
    </row>
    <row r="275" spans="1:119" x14ac:dyDescent="0.25">
      <c r="A275" s="153">
        <f t="shared" si="112"/>
        <v>45363</v>
      </c>
      <c r="B275" s="154"/>
      <c r="C275" s="154"/>
      <c r="D275" s="154"/>
      <c r="E275" s="875" t="str">
        <f t="shared" ca="1" si="56"/>
        <v/>
      </c>
      <c r="F275" s="876"/>
      <c r="G275" s="667">
        <f t="shared" ca="1" si="113"/>
        <v>0</v>
      </c>
      <c r="H275" s="667">
        <f t="shared" ca="1" si="57"/>
        <v>0</v>
      </c>
      <c r="I275" s="667">
        <f t="shared" ca="1" si="58"/>
        <v>0</v>
      </c>
      <c r="P275" s="151">
        <f t="shared" si="59"/>
        <v>125</v>
      </c>
      <c r="R275" s="55">
        <f t="shared" si="60"/>
        <v>0</v>
      </c>
      <c r="S275" s="55">
        <f t="shared" si="61"/>
        <v>1</v>
      </c>
      <c r="U275" s="226">
        <f t="shared" si="62"/>
        <v>0</v>
      </c>
      <c r="V275" s="137">
        <f t="shared" ca="1" si="63"/>
        <v>0</v>
      </c>
      <c r="W275" s="137">
        <f t="shared" si="64"/>
        <v>0</v>
      </c>
      <c r="X275" s="137">
        <f t="shared" si="65"/>
        <v>0</v>
      </c>
      <c r="Y275" s="137">
        <f t="shared" ca="1" si="66"/>
        <v>0</v>
      </c>
      <c r="Z275" s="137">
        <f t="shared" ca="1" si="67"/>
        <v>0</v>
      </c>
      <c r="AA275" s="137">
        <f t="shared" ca="1" si="68"/>
        <v>0</v>
      </c>
      <c r="AB275" s="137">
        <f t="shared" ca="1" si="69"/>
        <v>0</v>
      </c>
      <c r="AC275" s="137">
        <f t="shared" ca="1" si="70"/>
        <v>0</v>
      </c>
      <c r="AD275" s="137">
        <f t="shared" ca="1" si="71"/>
        <v>0</v>
      </c>
      <c r="AE275" s="223">
        <f t="shared" ca="1" si="72"/>
        <v>0</v>
      </c>
      <c r="AF275" s="229" t="str">
        <f t="shared" ca="1" si="73"/>
        <v/>
      </c>
      <c r="AH275" s="235">
        <f t="shared" si="74"/>
        <v>45363</v>
      </c>
      <c r="AI275" s="137">
        <f t="shared" ca="1" si="75"/>
        <v>0</v>
      </c>
      <c r="AJ275" s="137">
        <f t="shared" si="76"/>
        <v>0</v>
      </c>
      <c r="AK275" s="137">
        <f t="shared" ca="1" si="77"/>
        <v>0</v>
      </c>
      <c r="AL275" s="137">
        <f t="shared" ca="1" si="78"/>
        <v>0</v>
      </c>
      <c r="AM275" s="137">
        <f t="shared" si="79"/>
        <v>0</v>
      </c>
      <c r="AN275" s="137">
        <f t="shared" ca="1" si="80"/>
        <v>0</v>
      </c>
      <c r="AO275" s="137">
        <f t="shared" ca="1" si="81"/>
        <v>0</v>
      </c>
      <c r="AP275" s="137">
        <f t="shared" ca="1" si="82"/>
        <v>0</v>
      </c>
      <c r="AQ275" s="137">
        <f t="shared" si="83"/>
        <v>0</v>
      </c>
      <c r="AR275" s="236">
        <f t="shared" ca="1" si="84"/>
        <v>0</v>
      </c>
      <c r="AT275" s="241">
        <f t="shared" ca="1" si="85"/>
        <v>28</v>
      </c>
      <c r="AV275" s="222">
        <f t="shared" ca="1" si="86"/>
        <v>0</v>
      </c>
      <c r="AW275" s="247">
        <f t="shared" si="87"/>
        <v>91</v>
      </c>
      <c r="AY275" s="239">
        <f ca="1">(AE275=5)*('  B  '!F$110=1)*OR(AND(AND(A275&gt;=S$220,A275&gt;=I$214),AND(A275&lt;=S$221,A275&lt;=I$215)),AND(AND(A275&gt;=S$230,A275&gt;=I$224),AND(A275&lt;=S$231,A275&lt;=I$225)),AND(AND(A275&gt;=S$240,A275&gt;=I$234),AND(A275&lt;=S$241,A275&lt;=I$235)))</f>
        <v>0</v>
      </c>
      <c r="BA275" s="222">
        <f t="shared" ca="1" si="88"/>
        <v>0</v>
      </c>
      <c r="BB275" s="55">
        <f t="shared" ca="1" si="89"/>
        <v>0</v>
      </c>
      <c r="BC275" s="247">
        <f t="shared" si="90"/>
        <v>184</v>
      </c>
      <c r="BE275" s="239">
        <f t="shared" ca="1" si="91"/>
        <v>0</v>
      </c>
      <c r="BG275" s="239">
        <f t="shared" ca="1" si="92"/>
        <v>0</v>
      </c>
      <c r="BI275" s="222"/>
      <c r="BJ275" s="137">
        <v>0</v>
      </c>
      <c r="BK275" s="137">
        <v>0</v>
      </c>
      <c r="BL275" s="137">
        <f t="shared" ca="1" si="93"/>
        <v>1</v>
      </c>
      <c r="BM275" s="137">
        <f t="shared" ca="1" si="94"/>
        <v>1</v>
      </c>
      <c r="BN275" s="137">
        <f ca="1">(A275&gt;=N_LFP_Startdatum)*IF('  B  '!F$110=1,NOT(OR(A275&gt;S$221,A275&gt;S$231,A275&gt;S$241)),IF(BB275&gt;BC275,0,1))</f>
        <v>1</v>
      </c>
      <c r="BO275" s="137">
        <f t="shared" ca="1" si="95"/>
        <v>1</v>
      </c>
      <c r="BP275" s="137">
        <v>0</v>
      </c>
      <c r="BQ275" s="137">
        <f t="shared" ca="1" si="96"/>
        <v>1</v>
      </c>
      <c r="BR275" s="653">
        <v>0</v>
      </c>
      <c r="BS275" s="224">
        <f ca="1">(A275&gt;=N_LFP_Startdatum)*IF('  B  '!F$110=1,NOT(OR(A275&gt;S$221,A275&gt;S$231,A275&gt;S$241)),IF(BB275&gt;BC275,0,1))</f>
        <v>1</v>
      </c>
      <c r="BU275" s="562">
        <f t="shared" ca="1" si="97"/>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8"/>
        <v>0</v>
      </c>
      <c r="CA275" s="156">
        <f t="shared" ca="1" si="99"/>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0"/>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1"/>
        <v>0</v>
      </c>
      <c r="CL275" s="270">
        <f t="shared" ca="1" si="102"/>
        <v>0</v>
      </c>
      <c r="CM275" s="265">
        <f t="shared" ca="1" si="103"/>
        <v>0</v>
      </c>
      <c r="CO275" s="222"/>
      <c r="CP275" s="137">
        <v>0</v>
      </c>
      <c r="CQ275" s="137">
        <v>0</v>
      </c>
      <c r="CR275" s="137">
        <v>0</v>
      </c>
      <c r="CS275" s="137">
        <f t="shared" ca="1" si="104"/>
        <v>0</v>
      </c>
      <c r="CT275" s="137">
        <f t="shared" ca="1" si="105"/>
        <v>0</v>
      </c>
      <c r="CU275" s="137">
        <f t="shared" ca="1" si="106"/>
        <v>0</v>
      </c>
      <c r="CV275" s="137">
        <v>0</v>
      </c>
      <c r="CW275" s="137">
        <f t="shared" ca="1" si="107"/>
        <v>0</v>
      </c>
      <c r="CX275" s="137">
        <v>0</v>
      </c>
      <c r="CY275" s="224">
        <f t="shared" ca="1" si="108"/>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09"/>
        <v>0</v>
      </c>
      <c r="DF275" s="279">
        <f t="shared" ca="1" si="110"/>
        <v>0</v>
      </c>
      <c r="DG275" s="280">
        <f t="shared" ca="1" si="111"/>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4"/>
        <v>0</v>
      </c>
      <c r="DN275" s="279">
        <f t="shared" ca="1" si="115"/>
        <v>0</v>
      </c>
      <c r="DO275" s="279">
        <f t="shared" ca="1" si="116"/>
        <v>0</v>
      </c>
    </row>
    <row r="276" spans="1:119" x14ac:dyDescent="0.25">
      <c r="A276" s="153">
        <f t="shared" si="112"/>
        <v>45364</v>
      </c>
      <c r="B276" s="154"/>
      <c r="C276" s="154"/>
      <c r="D276" s="154"/>
      <c r="E276" s="875" t="str">
        <f t="shared" ca="1" si="56"/>
        <v/>
      </c>
      <c r="F276" s="876"/>
      <c r="G276" s="667">
        <f t="shared" ca="1" si="113"/>
        <v>0</v>
      </c>
      <c r="H276" s="667">
        <f t="shared" ca="1" si="57"/>
        <v>0</v>
      </c>
      <c r="I276" s="667">
        <f t="shared" ca="1" si="58"/>
        <v>0</v>
      </c>
      <c r="P276" s="151">
        <f t="shared" si="59"/>
        <v>125</v>
      </c>
      <c r="R276" s="55">
        <f t="shared" si="60"/>
        <v>0</v>
      </c>
      <c r="S276" s="55">
        <f t="shared" si="61"/>
        <v>1</v>
      </c>
      <c r="U276" s="226">
        <f t="shared" si="62"/>
        <v>0</v>
      </c>
      <c r="V276" s="137">
        <f t="shared" ca="1" si="63"/>
        <v>0</v>
      </c>
      <c r="W276" s="137">
        <f t="shared" si="64"/>
        <v>0</v>
      </c>
      <c r="X276" s="137">
        <f t="shared" si="65"/>
        <v>0</v>
      </c>
      <c r="Y276" s="137">
        <f t="shared" ca="1" si="66"/>
        <v>0</v>
      </c>
      <c r="Z276" s="137">
        <f t="shared" ca="1" si="67"/>
        <v>0</v>
      </c>
      <c r="AA276" s="137">
        <f t="shared" ca="1" si="68"/>
        <v>0</v>
      </c>
      <c r="AB276" s="137">
        <f t="shared" ca="1" si="69"/>
        <v>0</v>
      </c>
      <c r="AC276" s="137">
        <f t="shared" ca="1" si="70"/>
        <v>0</v>
      </c>
      <c r="AD276" s="137">
        <f t="shared" ca="1" si="71"/>
        <v>0</v>
      </c>
      <c r="AE276" s="223">
        <f t="shared" ca="1" si="72"/>
        <v>0</v>
      </c>
      <c r="AF276" s="229" t="str">
        <f t="shared" ca="1" si="73"/>
        <v/>
      </c>
      <c r="AH276" s="235">
        <f t="shared" si="74"/>
        <v>45364</v>
      </c>
      <c r="AI276" s="137">
        <f t="shared" ca="1" si="75"/>
        <v>0</v>
      </c>
      <c r="AJ276" s="137">
        <f t="shared" si="76"/>
        <v>0</v>
      </c>
      <c r="AK276" s="137">
        <f t="shared" ca="1" si="77"/>
        <v>0</v>
      </c>
      <c r="AL276" s="137">
        <f t="shared" ca="1" si="78"/>
        <v>0</v>
      </c>
      <c r="AM276" s="137">
        <f t="shared" si="79"/>
        <v>0</v>
      </c>
      <c r="AN276" s="137">
        <f t="shared" ca="1" si="80"/>
        <v>0</v>
      </c>
      <c r="AO276" s="137">
        <f t="shared" ca="1" si="81"/>
        <v>0</v>
      </c>
      <c r="AP276" s="137">
        <f t="shared" ca="1" si="82"/>
        <v>0</v>
      </c>
      <c r="AQ276" s="137">
        <f t="shared" si="83"/>
        <v>0</v>
      </c>
      <c r="AR276" s="236">
        <f t="shared" ca="1" si="84"/>
        <v>0</v>
      </c>
      <c r="AT276" s="241">
        <f t="shared" ca="1" si="85"/>
        <v>28</v>
      </c>
      <c r="AV276" s="222">
        <f t="shared" ca="1" si="86"/>
        <v>0</v>
      </c>
      <c r="AW276" s="247">
        <f t="shared" si="87"/>
        <v>91</v>
      </c>
      <c r="AY276" s="239">
        <f ca="1">(AE276=5)*('  B  '!F$110=1)*OR(AND(AND(A276&gt;=S$220,A276&gt;=I$214),AND(A276&lt;=S$221,A276&lt;=I$215)),AND(AND(A276&gt;=S$230,A276&gt;=I$224),AND(A276&lt;=S$231,A276&lt;=I$225)),AND(AND(A276&gt;=S$240,A276&gt;=I$234),AND(A276&lt;=S$241,A276&lt;=I$235)))</f>
        <v>0</v>
      </c>
      <c r="BA276" s="222">
        <f t="shared" ca="1" si="88"/>
        <v>0</v>
      </c>
      <c r="BB276" s="55">
        <f t="shared" ca="1" si="89"/>
        <v>0</v>
      </c>
      <c r="BC276" s="247">
        <f t="shared" si="90"/>
        <v>184</v>
      </c>
      <c r="BE276" s="239">
        <f t="shared" ca="1" si="91"/>
        <v>0</v>
      </c>
      <c r="BG276" s="239">
        <f t="shared" ca="1" si="92"/>
        <v>0</v>
      </c>
      <c r="BI276" s="222"/>
      <c r="BJ276" s="137">
        <v>0</v>
      </c>
      <c r="BK276" s="137">
        <v>0</v>
      </c>
      <c r="BL276" s="137">
        <f t="shared" ca="1" si="93"/>
        <v>1</v>
      </c>
      <c r="BM276" s="137">
        <f t="shared" ca="1" si="94"/>
        <v>1</v>
      </c>
      <c r="BN276" s="137">
        <f ca="1">(A276&gt;=N_LFP_Startdatum)*IF('  B  '!F$110=1,NOT(OR(A276&gt;S$221,A276&gt;S$231,A276&gt;S$241)),IF(BB276&gt;BC276,0,1))</f>
        <v>1</v>
      </c>
      <c r="BO276" s="137">
        <f t="shared" ca="1" si="95"/>
        <v>1</v>
      </c>
      <c r="BP276" s="137">
        <v>0</v>
      </c>
      <c r="BQ276" s="137">
        <f t="shared" ca="1" si="96"/>
        <v>1</v>
      </c>
      <c r="BR276" s="653">
        <v>0</v>
      </c>
      <c r="BS276" s="224">
        <f ca="1">(A276&gt;=N_LFP_Startdatum)*IF('  B  '!F$110=1,NOT(OR(A276&gt;S$221,A276&gt;S$231,A276&gt;S$241)),IF(BB276&gt;BC276,0,1))</f>
        <v>1</v>
      </c>
      <c r="BU276" s="562">
        <f t="shared" ca="1" si="97"/>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8"/>
        <v>0</v>
      </c>
      <c r="CA276" s="156">
        <f t="shared" ca="1" si="99"/>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0"/>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1"/>
        <v>0</v>
      </c>
      <c r="CL276" s="270">
        <f t="shared" ca="1" si="102"/>
        <v>0</v>
      </c>
      <c r="CM276" s="265">
        <f t="shared" ca="1" si="103"/>
        <v>0</v>
      </c>
      <c r="CO276" s="222"/>
      <c r="CP276" s="137">
        <v>0</v>
      </c>
      <c r="CQ276" s="137">
        <v>0</v>
      </c>
      <c r="CR276" s="137">
        <v>0</v>
      </c>
      <c r="CS276" s="137">
        <f t="shared" ca="1" si="104"/>
        <v>0</v>
      </c>
      <c r="CT276" s="137">
        <f t="shared" ca="1" si="105"/>
        <v>0</v>
      </c>
      <c r="CU276" s="137">
        <f t="shared" ca="1" si="106"/>
        <v>0</v>
      </c>
      <c r="CV276" s="137">
        <v>0</v>
      </c>
      <c r="CW276" s="137">
        <f t="shared" ca="1" si="107"/>
        <v>0</v>
      </c>
      <c r="CX276" s="137">
        <v>0</v>
      </c>
      <c r="CY276" s="224">
        <f t="shared" ca="1" si="108"/>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09"/>
        <v>0</v>
      </c>
      <c r="DF276" s="279">
        <f t="shared" ca="1" si="110"/>
        <v>0</v>
      </c>
      <c r="DG276" s="280">
        <f t="shared" ca="1" si="111"/>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4"/>
        <v>0</v>
      </c>
      <c r="DN276" s="279">
        <f t="shared" ca="1" si="115"/>
        <v>0</v>
      </c>
      <c r="DO276" s="279">
        <f t="shared" ca="1" si="116"/>
        <v>0</v>
      </c>
    </row>
    <row r="277" spans="1:119" x14ac:dyDescent="0.25">
      <c r="A277" s="153">
        <f t="shared" si="112"/>
        <v>45365</v>
      </c>
      <c r="B277" s="154"/>
      <c r="C277" s="154"/>
      <c r="D277" s="154"/>
      <c r="E277" s="875" t="str">
        <f t="shared" ca="1" si="56"/>
        <v/>
      </c>
      <c r="F277" s="876"/>
      <c r="G277" s="667">
        <f t="shared" ca="1" si="113"/>
        <v>0</v>
      </c>
      <c r="H277" s="667">
        <f t="shared" ca="1" si="57"/>
        <v>0</v>
      </c>
      <c r="I277" s="667">
        <f t="shared" ca="1" si="58"/>
        <v>0</v>
      </c>
      <c r="P277" s="151">
        <f t="shared" si="59"/>
        <v>125</v>
      </c>
      <c r="R277" s="55">
        <f t="shared" si="60"/>
        <v>0</v>
      </c>
      <c r="S277" s="55">
        <f t="shared" si="61"/>
        <v>1</v>
      </c>
      <c r="U277" s="226">
        <f t="shared" si="62"/>
        <v>0</v>
      </c>
      <c r="V277" s="137">
        <f t="shared" ca="1" si="63"/>
        <v>0</v>
      </c>
      <c r="W277" s="137">
        <f t="shared" si="64"/>
        <v>0</v>
      </c>
      <c r="X277" s="137">
        <f t="shared" si="65"/>
        <v>0</v>
      </c>
      <c r="Y277" s="137">
        <f t="shared" ca="1" si="66"/>
        <v>0</v>
      </c>
      <c r="Z277" s="137">
        <f t="shared" ca="1" si="67"/>
        <v>0</v>
      </c>
      <c r="AA277" s="137">
        <f t="shared" ca="1" si="68"/>
        <v>0</v>
      </c>
      <c r="AB277" s="137">
        <f t="shared" ca="1" si="69"/>
        <v>0</v>
      </c>
      <c r="AC277" s="137">
        <f t="shared" ca="1" si="70"/>
        <v>0</v>
      </c>
      <c r="AD277" s="137">
        <f t="shared" ca="1" si="71"/>
        <v>0</v>
      </c>
      <c r="AE277" s="223">
        <f t="shared" ca="1" si="72"/>
        <v>0</v>
      </c>
      <c r="AF277" s="229" t="str">
        <f t="shared" ca="1" si="73"/>
        <v/>
      </c>
      <c r="AH277" s="235">
        <f t="shared" si="74"/>
        <v>45365</v>
      </c>
      <c r="AI277" s="137">
        <f t="shared" ca="1" si="75"/>
        <v>0</v>
      </c>
      <c r="AJ277" s="137">
        <f t="shared" si="76"/>
        <v>0</v>
      </c>
      <c r="AK277" s="137">
        <f t="shared" ca="1" si="77"/>
        <v>0</v>
      </c>
      <c r="AL277" s="137">
        <f t="shared" ca="1" si="78"/>
        <v>0</v>
      </c>
      <c r="AM277" s="137">
        <f t="shared" si="79"/>
        <v>0</v>
      </c>
      <c r="AN277" s="137">
        <f t="shared" ca="1" si="80"/>
        <v>0</v>
      </c>
      <c r="AO277" s="137">
        <f t="shared" ca="1" si="81"/>
        <v>0</v>
      </c>
      <c r="AP277" s="137">
        <f t="shared" ca="1" si="82"/>
        <v>0</v>
      </c>
      <c r="AQ277" s="137">
        <f t="shared" si="83"/>
        <v>0</v>
      </c>
      <c r="AR277" s="236">
        <f t="shared" ca="1" si="84"/>
        <v>0</v>
      </c>
      <c r="AT277" s="241">
        <f t="shared" ca="1" si="85"/>
        <v>28</v>
      </c>
      <c r="AV277" s="222">
        <f t="shared" ca="1" si="86"/>
        <v>0</v>
      </c>
      <c r="AW277" s="247">
        <f t="shared" si="87"/>
        <v>91</v>
      </c>
      <c r="AY277" s="239">
        <f ca="1">(AE277=5)*('  B  '!F$110=1)*OR(AND(AND(A277&gt;=S$220,A277&gt;=I$214),AND(A277&lt;=S$221,A277&lt;=I$215)),AND(AND(A277&gt;=S$230,A277&gt;=I$224),AND(A277&lt;=S$231,A277&lt;=I$225)),AND(AND(A277&gt;=S$240,A277&gt;=I$234),AND(A277&lt;=S$241,A277&lt;=I$235)))</f>
        <v>0</v>
      </c>
      <c r="BA277" s="222">
        <f t="shared" ca="1" si="88"/>
        <v>0</v>
      </c>
      <c r="BB277" s="55">
        <f t="shared" ca="1" si="89"/>
        <v>0</v>
      </c>
      <c r="BC277" s="247">
        <f t="shared" si="90"/>
        <v>184</v>
      </c>
      <c r="BE277" s="239">
        <f t="shared" ca="1" si="91"/>
        <v>0</v>
      </c>
      <c r="BG277" s="239">
        <f t="shared" ca="1" si="92"/>
        <v>0</v>
      </c>
      <c r="BI277" s="222"/>
      <c r="BJ277" s="137">
        <v>0</v>
      </c>
      <c r="BK277" s="137">
        <v>0</v>
      </c>
      <c r="BL277" s="137">
        <f t="shared" ca="1" si="93"/>
        <v>1</v>
      </c>
      <c r="BM277" s="137">
        <f t="shared" ca="1" si="94"/>
        <v>1</v>
      </c>
      <c r="BN277" s="137">
        <f ca="1">(A277&gt;=N_LFP_Startdatum)*IF('  B  '!F$110=1,NOT(OR(A277&gt;S$221,A277&gt;S$231,A277&gt;S$241)),IF(BB277&gt;BC277,0,1))</f>
        <v>1</v>
      </c>
      <c r="BO277" s="137">
        <f t="shared" ca="1" si="95"/>
        <v>1</v>
      </c>
      <c r="BP277" s="137">
        <v>0</v>
      </c>
      <c r="BQ277" s="137">
        <f t="shared" ca="1" si="96"/>
        <v>1</v>
      </c>
      <c r="BR277" s="653">
        <v>0</v>
      </c>
      <c r="BS277" s="224">
        <f ca="1">(A277&gt;=N_LFP_Startdatum)*IF('  B  '!F$110=1,NOT(OR(A277&gt;S$221,A277&gt;S$231,A277&gt;S$241)),IF(BB277&gt;BC277,0,1))</f>
        <v>1</v>
      </c>
      <c r="BU277" s="562">
        <f t="shared" ca="1" si="97"/>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8"/>
        <v>0</v>
      </c>
      <c r="CA277" s="156">
        <f t="shared" ca="1" si="99"/>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0"/>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1"/>
        <v>0</v>
      </c>
      <c r="CL277" s="270">
        <f t="shared" ca="1" si="102"/>
        <v>0</v>
      </c>
      <c r="CM277" s="265">
        <f t="shared" ca="1" si="103"/>
        <v>0</v>
      </c>
      <c r="CO277" s="222"/>
      <c r="CP277" s="137">
        <v>0</v>
      </c>
      <c r="CQ277" s="137">
        <v>0</v>
      </c>
      <c r="CR277" s="137">
        <v>0</v>
      </c>
      <c r="CS277" s="137">
        <f t="shared" ca="1" si="104"/>
        <v>0</v>
      </c>
      <c r="CT277" s="137">
        <f t="shared" ca="1" si="105"/>
        <v>0</v>
      </c>
      <c r="CU277" s="137">
        <f t="shared" ca="1" si="106"/>
        <v>0</v>
      </c>
      <c r="CV277" s="137">
        <v>0</v>
      </c>
      <c r="CW277" s="137">
        <f t="shared" ca="1" si="107"/>
        <v>0</v>
      </c>
      <c r="CX277" s="137">
        <v>0</v>
      </c>
      <c r="CY277" s="224">
        <f t="shared" ca="1" si="108"/>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09"/>
        <v>0</v>
      </c>
      <c r="DF277" s="279">
        <f t="shared" ca="1" si="110"/>
        <v>0</v>
      </c>
      <c r="DG277" s="280">
        <f t="shared" ca="1" si="111"/>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4"/>
        <v>0</v>
      </c>
      <c r="DN277" s="279">
        <f t="shared" ca="1" si="115"/>
        <v>0</v>
      </c>
      <c r="DO277" s="279">
        <f t="shared" ca="1" si="116"/>
        <v>0</v>
      </c>
    </row>
    <row r="278" spans="1:119" x14ac:dyDescent="0.25">
      <c r="A278" s="153">
        <f t="shared" si="112"/>
        <v>45366</v>
      </c>
      <c r="B278" s="154"/>
      <c r="C278" s="154"/>
      <c r="D278" s="154"/>
      <c r="E278" s="875" t="str">
        <f t="shared" ca="1" si="56"/>
        <v/>
      </c>
      <c r="F278" s="876"/>
      <c r="G278" s="667">
        <f t="shared" ca="1" si="113"/>
        <v>0</v>
      </c>
      <c r="H278" s="667">
        <f t="shared" ca="1" si="57"/>
        <v>0</v>
      </c>
      <c r="I278" s="667">
        <f t="shared" ca="1" si="58"/>
        <v>0</v>
      </c>
      <c r="P278" s="151">
        <f t="shared" si="59"/>
        <v>125</v>
      </c>
      <c r="R278" s="55">
        <f t="shared" si="60"/>
        <v>0</v>
      </c>
      <c r="S278" s="55">
        <f t="shared" si="61"/>
        <v>1</v>
      </c>
      <c r="U278" s="226">
        <f t="shared" si="62"/>
        <v>0</v>
      </c>
      <c r="V278" s="137">
        <f t="shared" ca="1" si="63"/>
        <v>0</v>
      </c>
      <c r="W278" s="137">
        <f t="shared" si="64"/>
        <v>0</v>
      </c>
      <c r="X278" s="137">
        <f t="shared" si="65"/>
        <v>0</v>
      </c>
      <c r="Y278" s="137">
        <f t="shared" ca="1" si="66"/>
        <v>0</v>
      </c>
      <c r="Z278" s="137">
        <f t="shared" ca="1" si="67"/>
        <v>0</v>
      </c>
      <c r="AA278" s="137">
        <f t="shared" ca="1" si="68"/>
        <v>0</v>
      </c>
      <c r="AB278" s="137">
        <f t="shared" ca="1" si="69"/>
        <v>0</v>
      </c>
      <c r="AC278" s="137">
        <f t="shared" ca="1" si="70"/>
        <v>0</v>
      </c>
      <c r="AD278" s="137">
        <f t="shared" ca="1" si="71"/>
        <v>0</v>
      </c>
      <c r="AE278" s="223">
        <f t="shared" ca="1" si="72"/>
        <v>0</v>
      </c>
      <c r="AF278" s="229" t="str">
        <f t="shared" ca="1" si="73"/>
        <v/>
      </c>
      <c r="AH278" s="235">
        <f t="shared" si="74"/>
        <v>45366</v>
      </c>
      <c r="AI278" s="137">
        <f t="shared" ca="1" si="75"/>
        <v>0</v>
      </c>
      <c r="AJ278" s="137">
        <f t="shared" si="76"/>
        <v>0</v>
      </c>
      <c r="AK278" s="137">
        <f t="shared" ca="1" si="77"/>
        <v>0</v>
      </c>
      <c r="AL278" s="137">
        <f t="shared" ca="1" si="78"/>
        <v>0</v>
      </c>
      <c r="AM278" s="137">
        <f t="shared" si="79"/>
        <v>0</v>
      </c>
      <c r="AN278" s="137">
        <f t="shared" ca="1" si="80"/>
        <v>0</v>
      </c>
      <c r="AO278" s="137">
        <f t="shared" ca="1" si="81"/>
        <v>0</v>
      </c>
      <c r="AP278" s="137">
        <f t="shared" ca="1" si="82"/>
        <v>0</v>
      </c>
      <c r="AQ278" s="137">
        <f t="shared" si="83"/>
        <v>0</v>
      </c>
      <c r="AR278" s="236">
        <f t="shared" ca="1" si="84"/>
        <v>0</v>
      </c>
      <c r="AT278" s="241">
        <f t="shared" ca="1" si="85"/>
        <v>28</v>
      </c>
      <c r="AV278" s="222">
        <f t="shared" ca="1" si="86"/>
        <v>0</v>
      </c>
      <c r="AW278" s="247">
        <f t="shared" si="87"/>
        <v>91</v>
      </c>
      <c r="AY278" s="239">
        <f ca="1">(AE278=5)*('  B  '!F$110=1)*OR(AND(AND(A278&gt;=S$220,A278&gt;=I$214),AND(A278&lt;=S$221,A278&lt;=I$215)),AND(AND(A278&gt;=S$230,A278&gt;=I$224),AND(A278&lt;=S$231,A278&lt;=I$225)),AND(AND(A278&gt;=S$240,A278&gt;=I$234),AND(A278&lt;=S$241,A278&lt;=I$235)))</f>
        <v>0</v>
      </c>
      <c r="BA278" s="222">
        <f t="shared" ca="1" si="88"/>
        <v>0</v>
      </c>
      <c r="BB278" s="55">
        <f t="shared" ca="1" si="89"/>
        <v>0</v>
      </c>
      <c r="BC278" s="247">
        <f t="shared" si="90"/>
        <v>184</v>
      </c>
      <c r="BE278" s="239">
        <f t="shared" ca="1" si="91"/>
        <v>0</v>
      </c>
      <c r="BG278" s="239">
        <f t="shared" ca="1" si="92"/>
        <v>0</v>
      </c>
      <c r="BI278" s="222"/>
      <c r="BJ278" s="137">
        <v>0</v>
      </c>
      <c r="BK278" s="137">
        <v>0</v>
      </c>
      <c r="BL278" s="137">
        <f t="shared" ca="1" si="93"/>
        <v>1</v>
      </c>
      <c r="BM278" s="137">
        <f t="shared" ca="1" si="94"/>
        <v>1</v>
      </c>
      <c r="BN278" s="137">
        <f ca="1">(A278&gt;=N_LFP_Startdatum)*IF('  B  '!F$110=1,NOT(OR(A278&gt;S$221,A278&gt;S$231,A278&gt;S$241)),IF(BB278&gt;BC278,0,1))</f>
        <v>1</v>
      </c>
      <c r="BO278" s="137">
        <f t="shared" ca="1" si="95"/>
        <v>1</v>
      </c>
      <c r="BP278" s="137">
        <v>0</v>
      </c>
      <c r="BQ278" s="137">
        <f t="shared" ca="1" si="96"/>
        <v>1</v>
      </c>
      <c r="BR278" s="653">
        <v>0</v>
      </c>
      <c r="BS278" s="224">
        <f ca="1">(A278&gt;=N_LFP_Startdatum)*IF('  B  '!F$110=1,NOT(OR(A278&gt;S$221,A278&gt;S$231,A278&gt;S$241)),IF(BB278&gt;BC278,0,1))</f>
        <v>1</v>
      </c>
      <c r="BU278" s="562">
        <f t="shared" ca="1" si="97"/>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8"/>
        <v>0</v>
      </c>
      <c r="CA278" s="156">
        <f t="shared" ca="1" si="99"/>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0"/>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1"/>
        <v>0</v>
      </c>
      <c r="CL278" s="270">
        <f t="shared" ca="1" si="102"/>
        <v>0</v>
      </c>
      <c r="CM278" s="265">
        <f t="shared" ca="1" si="103"/>
        <v>0</v>
      </c>
      <c r="CO278" s="222"/>
      <c r="CP278" s="137">
        <v>0</v>
      </c>
      <c r="CQ278" s="137">
        <v>0</v>
      </c>
      <c r="CR278" s="137">
        <v>0</v>
      </c>
      <c r="CS278" s="137">
        <f t="shared" ca="1" si="104"/>
        <v>0</v>
      </c>
      <c r="CT278" s="137">
        <f t="shared" ca="1" si="105"/>
        <v>0</v>
      </c>
      <c r="CU278" s="137">
        <f t="shared" ca="1" si="106"/>
        <v>0</v>
      </c>
      <c r="CV278" s="137">
        <v>0</v>
      </c>
      <c r="CW278" s="137">
        <f t="shared" ca="1" si="107"/>
        <v>0</v>
      </c>
      <c r="CX278" s="137">
        <v>0</v>
      </c>
      <c r="CY278" s="224">
        <f t="shared" ca="1" si="108"/>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09"/>
        <v>0</v>
      </c>
      <c r="DF278" s="279">
        <f t="shared" ca="1" si="110"/>
        <v>0</v>
      </c>
      <c r="DG278" s="280">
        <f t="shared" ca="1" si="111"/>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4"/>
        <v>0</v>
      </c>
      <c r="DN278" s="279">
        <f t="shared" ca="1" si="115"/>
        <v>0</v>
      </c>
      <c r="DO278" s="279">
        <f t="shared" ca="1" si="116"/>
        <v>0</v>
      </c>
    </row>
    <row r="279" spans="1:119" x14ac:dyDescent="0.25">
      <c r="A279" s="153">
        <f t="shared" si="112"/>
        <v>45367</v>
      </c>
      <c r="B279" s="154"/>
      <c r="C279" s="154"/>
      <c r="D279" s="154"/>
      <c r="E279" s="875" t="str">
        <f t="shared" ca="1" si="56"/>
        <v/>
      </c>
      <c r="F279" s="876"/>
      <c r="G279" s="667">
        <f t="shared" ca="1" si="113"/>
        <v>0</v>
      </c>
      <c r="H279" s="667">
        <f t="shared" ca="1" si="57"/>
        <v>0</v>
      </c>
      <c r="I279" s="667">
        <f t="shared" ca="1" si="58"/>
        <v>0</v>
      </c>
      <c r="P279" s="151">
        <f t="shared" si="59"/>
        <v>125</v>
      </c>
      <c r="R279" s="55">
        <f t="shared" si="60"/>
        <v>0</v>
      </c>
      <c r="S279" s="55">
        <f t="shared" si="61"/>
        <v>1</v>
      </c>
      <c r="U279" s="226">
        <f t="shared" si="62"/>
        <v>0</v>
      </c>
      <c r="V279" s="137">
        <f t="shared" ca="1" si="63"/>
        <v>0</v>
      </c>
      <c r="W279" s="137">
        <f t="shared" si="64"/>
        <v>0</v>
      </c>
      <c r="X279" s="137">
        <f t="shared" si="65"/>
        <v>0</v>
      </c>
      <c r="Y279" s="137">
        <f t="shared" ca="1" si="66"/>
        <v>0</v>
      </c>
      <c r="Z279" s="137">
        <f t="shared" ca="1" si="67"/>
        <v>0</v>
      </c>
      <c r="AA279" s="137">
        <f t="shared" ca="1" si="68"/>
        <v>0</v>
      </c>
      <c r="AB279" s="137">
        <f t="shared" ca="1" si="69"/>
        <v>0</v>
      </c>
      <c r="AC279" s="137">
        <f t="shared" ca="1" si="70"/>
        <v>0</v>
      </c>
      <c r="AD279" s="137">
        <f t="shared" ca="1" si="71"/>
        <v>0</v>
      </c>
      <c r="AE279" s="223">
        <f t="shared" ca="1" si="72"/>
        <v>0</v>
      </c>
      <c r="AF279" s="229" t="str">
        <f t="shared" ca="1" si="73"/>
        <v/>
      </c>
      <c r="AH279" s="235">
        <f t="shared" si="74"/>
        <v>45367</v>
      </c>
      <c r="AI279" s="137">
        <f t="shared" ca="1" si="75"/>
        <v>0</v>
      </c>
      <c r="AJ279" s="137">
        <f t="shared" si="76"/>
        <v>0</v>
      </c>
      <c r="AK279" s="137">
        <f t="shared" ca="1" si="77"/>
        <v>0</v>
      </c>
      <c r="AL279" s="137">
        <f t="shared" ca="1" si="78"/>
        <v>0</v>
      </c>
      <c r="AM279" s="137">
        <f t="shared" si="79"/>
        <v>0</v>
      </c>
      <c r="AN279" s="137">
        <f t="shared" ca="1" si="80"/>
        <v>0</v>
      </c>
      <c r="AO279" s="137">
        <f t="shared" ca="1" si="81"/>
        <v>0</v>
      </c>
      <c r="AP279" s="137">
        <f t="shared" ca="1" si="82"/>
        <v>0</v>
      </c>
      <c r="AQ279" s="137">
        <f t="shared" si="83"/>
        <v>0</v>
      </c>
      <c r="AR279" s="236">
        <f t="shared" ca="1" si="84"/>
        <v>0</v>
      </c>
      <c r="AT279" s="241">
        <f t="shared" ca="1" si="85"/>
        <v>28</v>
      </c>
      <c r="AV279" s="222">
        <f t="shared" ca="1" si="86"/>
        <v>0</v>
      </c>
      <c r="AW279" s="247">
        <f t="shared" si="87"/>
        <v>91</v>
      </c>
      <c r="AY279" s="239">
        <f ca="1">(AE279=5)*('  B  '!F$110=1)*OR(AND(AND(A279&gt;=S$220,A279&gt;=I$214),AND(A279&lt;=S$221,A279&lt;=I$215)),AND(AND(A279&gt;=S$230,A279&gt;=I$224),AND(A279&lt;=S$231,A279&lt;=I$225)),AND(AND(A279&gt;=S$240,A279&gt;=I$234),AND(A279&lt;=S$241,A279&lt;=I$235)))</f>
        <v>0</v>
      </c>
      <c r="BA279" s="222">
        <f t="shared" ca="1" si="88"/>
        <v>0</v>
      </c>
      <c r="BB279" s="55">
        <f t="shared" ca="1" si="89"/>
        <v>0</v>
      </c>
      <c r="BC279" s="247">
        <f t="shared" si="90"/>
        <v>184</v>
      </c>
      <c r="BE279" s="239">
        <f t="shared" ca="1" si="91"/>
        <v>0</v>
      </c>
      <c r="BG279" s="239">
        <f t="shared" ca="1" si="92"/>
        <v>0</v>
      </c>
      <c r="BI279" s="222"/>
      <c r="BJ279" s="137">
        <v>0</v>
      </c>
      <c r="BK279" s="137">
        <v>0</v>
      </c>
      <c r="BL279" s="137">
        <f t="shared" ca="1" si="93"/>
        <v>1</v>
      </c>
      <c r="BM279" s="137">
        <f t="shared" ca="1" si="94"/>
        <v>1</v>
      </c>
      <c r="BN279" s="137">
        <f ca="1">(A279&gt;=N_LFP_Startdatum)*IF('  B  '!F$110=1,NOT(OR(A279&gt;S$221,A279&gt;S$231,A279&gt;S$241)),IF(BB279&gt;BC279,0,1))</f>
        <v>1</v>
      </c>
      <c r="BO279" s="137">
        <f t="shared" ca="1" si="95"/>
        <v>1</v>
      </c>
      <c r="BP279" s="137">
        <v>0</v>
      </c>
      <c r="BQ279" s="137">
        <f t="shared" ca="1" si="96"/>
        <v>1</v>
      </c>
      <c r="BR279" s="653">
        <v>0</v>
      </c>
      <c r="BS279" s="224">
        <f ca="1">(A279&gt;=N_LFP_Startdatum)*IF('  B  '!F$110=1,NOT(OR(A279&gt;S$221,A279&gt;S$231,A279&gt;S$241)),IF(BB279&gt;BC279,0,1))</f>
        <v>1</v>
      </c>
      <c r="BU279" s="562">
        <f t="shared" ca="1" si="97"/>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8"/>
        <v>0</v>
      </c>
      <c r="CA279" s="156">
        <f t="shared" ca="1" si="99"/>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0"/>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1"/>
        <v>0</v>
      </c>
      <c r="CL279" s="270">
        <f t="shared" ca="1" si="102"/>
        <v>0</v>
      </c>
      <c r="CM279" s="265">
        <f t="shared" ca="1" si="103"/>
        <v>0</v>
      </c>
      <c r="CO279" s="222"/>
      <c r="CP279" s="137">
        <v>0</v>
      </c>
      <c r="CQ279" s="137">
        <v>0</v>
      </c>
      <c r="CR279" s="137">
        <v>0</v>
      </c>
      <c r="CS279" s="137">
        <f t="shared" ca="1" si="104"/>
        <v>0</v>
      </c>
      <c r="CT279" s="137">
        <f t="shared" ca="1" si="105"/>
        <v>0</v>
      </c>
      <c r="CU279" s="137">
        <f t="shared" ca="1" si="106"/>
        <v>0</v>
      </c>
      <c r="CV279" s="137">
        <v>0</v>
      </c>
      <c r="CW279" s="137">
        <f t="shared" ca="1" si="107"/>
        <v>0</v>
      </c>
      <c r="CX279" s="137">
        <v>0</v>
      </c>
      <c r="CY279" s="224">
        <f t="shared" ca="1" si="108"/>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09"/>
        <v>0</v>
      </c>
      <c r="DF279" s="279">
        <f t="shared" ca="1" si="110"/>
        <v>0</v>
      </c>
      <c r="DG279" s="280">
        <f t="shared" ca="1" si="111"/>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4"/>
        <v>0</v>
      </c>
      <c r="DN279" s="279">
        <f t="shared" ca="1" si="115"/>
        <v>0</v>
      </c>
      <c r="DO279" s="279">
        <f t="shared" ca="1" si="116"/>
        <v>0</v>
      </c>
    </row>
    <row r="280" spans="1:119" x14ac:dyDescent="0.25">
      <c r="A280" s="153">
        <f t="shared" si="112"/>
        <v>45368</v>
      </c>
      <c r="B280" s="154"/>
      <c r="C280" s="154"/>
      <c r="D280" s="154"/>
      <c r="E280" s="875" t="str">
        <f t="shared" ca="1" si="56"/>
        <v/>
      </c>
      <c r="F280" s="876"/>
      <c r="G280" s="667">
        <f t="shared" ca="1" si="113"/>
        <v>0</v>
      </c>
      <c r="H280" s="667">
        <f t="shared" ca="1" si="57"/>
        <v>0</v>
      </c>
      <c r="I280" s="667">
        <f t="shared" ca="1" si="58"/>
        <v>0</v>
      </c>
      <c r="P280" s="151">
        <f t="shared" si="59"/>
        <v>125</v>
      </c>
      <c r="R280" s="55">
        <f t="shared" si="60"/>
        <v>0</v>
      </c>
      <c r="S280" s="55">
        <f t="shared" si="61"/>
        <v>1</v>
      </c>
      <c r="U280" s="226">
        <f t="shared" si="62"/>
        <v>0</v>
      </c>
      <c r="V280" s="137">
        <f t="shared" ca="1" si="63"/>
        <v>0</v>
      </c>
      <c r="W280" s="137">
        <f t="shared" si="64"/>
        <v>0</v>
      </c>
      <c r="X280" s="137">
        <f t="shared" si="65"/>
        <v>0</v>
      </c>
      <c r="Y280" s="137">
        <f t="shared" ca="1" si="66"/>
        <v>0</v>
      </c>
      <c r="Z280" s="137">
        <f t="shared" ca="1" si="67"/>
        <v>0</v>
      </c>
      <c r="AA280" s="137">
        <f t="shared" ca="1" si="68"/>
        <v>0</v>
      </c>
      <c r="AB280" s="137">
        <f t="shared" ca="1" si="69"/>
        <v>0</v>
      </c>
      <c r="AC280" s="137">
        <f t="shared" ca="1" si="70"/>
        <v>0</v>
      </c>
      <c r="AD280" s="137">
        <f t="shared" ca="1" si="71"/>
        <v>0</v>
      </c>
      <c r="AE280" s="223">
        <f t="shared" ca="1" si="72"/>
        <v>0</v>
      </c>
      <c r="AF280" s="229" t="str">
        <f t="shared" ca="1" si="73"/>
        <v/>
      </c>
      <c r="AH280" s="235">
        <f t="shared" si="74"/>
        <v>45368</v>
      </c>
      <c r="AI280" s="137">
        <f t="shared" ca="1" si="75"/>
        <v>0</v>
      </c>
      <c r="AJ280" s="137">
        <f t="shared" si="76"/>
        <v>0</v>
      </c>
      <c r="AK280" s="137">
        <f t="shared" ca="1" si="77"/>
        <v>0</v>
      </c>
      <c r="AL280" s="137">
        <f t="shared" ca="1" si="78"/>
        <v>0</v>
      </c>
      <c r="AM280" s="137">
        <f t="shared" si="79"/>
        <v>0</v>
      </c>
      <c r="AN280" s="137">
        <f t="shared" ca="1" si="80"/>
        <v>0</v>
      </c>
      <c r="AO280" s="137">
        <f t="shared" ca="1" si="81"/>
        <v>0</v>
      </c>
      <c r="AP280" s="137">
        <f t="shared" ca="1" si="82"/>
        <v>0</v>
      </c>
      <c r="AQ280" s="137">
        <f t="shared" si="83"/>
        <v>0</v>
      </c>
      <c r="AR280" s="236">
        <f t="shared" ca="1" si="84"/>
        <v>0</v>
      </c>
      <c r="AT280" s="241">
        <f t="shared" ca="1" si="85"/>
        <v>28</v>
      </c>
      <c r="AV280" s="222">
        <f t="shared" ca="1" si="86"/>
        <v>0</v>
      </c>
      <c r="AW280" s="247">
        <f t="shared" si="87"/>
        <v>91</v>
      </c>
      <c r="AY280" s="239">
        <f ca="1">(AE280=5)*('  B  '!F$110=1)*OR(AND(AND(A280&gt;=S$220,A280&gt;=I$214),AND(A280&lt;=S$221,A280&lt;=I$215)),AND(AND(A280&gt;=S$230,A280&gt;=I$224),AND(A280&lt;=S$231,A280&lt;=I$225)),AND(AND(A280&gt;=S$240,A280&gt;=I$234),AND(A280&lt;=S$241,A280&lt;=I$235)))</f>
        <v>0</v>
      </c>
      <c r="BA280" s="222">
        <f t="shared" ca="1" si="88"/>
        <v>0</v>
      </c>
      <c r="BB280" s="55">
        <f t="shared" ca="1" si="89"/>
        <v>0</v>
      </c>
      <c r="BC280" s="247">
        <f t="shared" si="90"/>
        <v>184</v>
      </c>
      <c r="BE280" s="239">
        <f t="shared" ca="1" si="91"/>
        <v>0</v>
      </c>
      <c r="BG280" s="239">
        <f t="shared" ca="1" si="92"/>
        <v>0</v>
      </c>
      <c r="BI280" s="222"/>
      <c r="BJ280" s="137">
        <v>0</v>
      </c>
      <c r="BK280" s="137">
        <v>0</v>
      </c>
      <c r="BL280" s="137">
        <f t="shared" ca="1" si="93"/>
        <v>1</v>
      </c>
      <c r="BM280" s="137">
        <f t="shared" ca="1" si="94"/>
        <v>1</v>
      </c>
      <c r="BN280" s="137">
        <f ca="1">(A280&gt;=N_LFP_Startdatum)*IF('  B  '!F$110=1,NOT(OR(A280&gt;S$221,A280&gt;S$231,A280&gt;S$241)),IF(BB280&gt;BC280,0,1))</f>
        <v>1</v>
      </c>
      <c r="BO280" s="137">
        <f t="shared" ca="1" si="95"/>
        <v>1</v>
      </c>
      <c r="BP280" s="137">
        <v>0</v>
      </c>
      <c r="BQ280" s="137">
        <f t="shared" ca="1" si="96"/>
        <v>1</v>
      </c>
      <c r="BR280" s="653">
        <v>0</v>
      </c>
      <c r="BS280" s="224">
        <f ca="1">(A280&gt;=N_LFP_Startdatum)*IF('  B  '!F$110=1,NOT(OR(A280&gt;S$221,A280&gt;S$231,A280&gt;S$241)),IF(BB280&gt;BC280,0,1))</f>
        <v>1</v>
      </c>
      <c r="BU280" s="562">
        <f t="shared" ca="1" si="97"/>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8"/>
        <v>0</v>
      </c>
      <c r="CA280" s="156">
        <f t="shared" ca="1" si="99"/>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0"/>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1"/>
        <v>0</v>
      </c>
      <c r="CL280" s="270">
        <f t="shared" ca="1" si="102"/>
        <v>0</v>
      </c>
      <c r="CM280" s="265">
        <f t="shared" ca="1" si="103"/>
        <v>0</v>
      </c>
      <c r="CO280" s="222"/>
      <c r="CP280" s="137">
        <v>0</v>
      </c>
      <c r="CQ280" s="137">
        <v>0</v>
      </c>
      <c r="CR280" s="137">
        <v>0</v>
      </c>
      <c r="CS280" s="137">
        <f t="shared" ca="1" si="104"/>
        <v>0</v>
      </c>
      <c r="CT280" s="137">
        <f t="shared" ca="1" si="105"/>
        <v>0</v>
      </c>
      <c r="CU280" s="137">
        <f t="shared" ca="1" si="106"/>
        <v>0</v>
      </c>
      <c r="CV280" s="137">
        <v>0</v>
      </c>
      <c r="CW280" s="137">
        <f t="shared" ca="1" si="107"/>
        <v>0</v>
      </c>
      <c r="CX280" s="137">
        <v>0</v>
      </c>
      <c r="CY280" s="224">
        <f t="shared" ca="1" si="108"/>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09"/>
        <v>0</v>
      </c>
      <c r="DF280" s="279">
        <f t="shared" ca="1" si="110"/>
        <v>0</v>
      </c>
      <c r="DG280" s="280">
        <f t="shared" ca="1" si="111"/>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4"/>
        <v>0</v>
      </c>
      <c r="DN280" s="279">
        <f t="shared" ca="1" si="115"/>
        <v>0</v>
      </c>
      <c r="DO280" s="279">
        <f t="shared" ca="1" si="116"/>
        <v>0</v>
      </c>
    </row>
    <row r="281" spans="1:119" x14ac:dyDescent="0.25">
      <c r="A281" s="153">
        <f t="shared" si="112"/>
        <v>45369</v>
      </c>
      <c r="B281" s="154"/>
      <c r="C281" s="154"/>
      <c r="D281" s="154"/>
      <c r="E281" s="875" t="str">
        <f t="shared" ca="1" si="56"/>
        <v/>
      </c>
      <c r="F281" s="876"/>
      <c r="G281" s="667">
        <f t="shared" ca="1" si="113"/>
        <v>0</v>
      </c>
      <c r="H281" s="667">
        <f t="shared" ca="1" si="57"/>
        <v>0</v>
      </c>
      <c r="I281" s="667">
        <f t="shared" ca="1" si="58"/>
        <v>0</v>
      </c>
      <c r="P281" s="151">
        <f t="shared" si="59"/>
        <v>125</v>
      </c>
      <c r="R281" s="55">
        <f t="shared" si="60"/>
        <v>0</v>
      </c>
      <c r="S281" s="55">
        <f t="shared" si="61"/>
        <v>1</v>
      </c>
      <c r="U281" s="226">
        <f t="shared" si="62"/>
        <v>0</v>
      </c>
      <c r="V281" s="137">
        <f t="shared" ca="1" si="63"/>
        <v>0</v>
      </c>
      <c r="W281" s="137">
        <f t="shared" si="64"/>
        <v>0</v>
      </c>
      <c r="X281" s="137">
        <f t="shared" si="65"/>
        <v>0</v>
      </c>
      <c r="Y281" s="137">
        <f t="shared" ca="1" si="66"/>
        <v>0</v>
      </c>
      <c r="Z281" s="137">
        <f t="shared" ca="1" si="67"/>
        <v>0</v>
      </c>
      <c r="AA281" s="137">
        <f t="shared" ca="1" si="68"/>
        <v>0</v>
      </c>
      <c r="AB281" s="137">
        <f t="shared" ca="1" si="69"/>
        <v>0</v>
      </c>
      <c r="AC281" s="137">
        <f t="shared" ca="1" si="70"/>
        <v>0</v>
      </c>
      <c r="AD281" s="137">
        <f t="shared" ca="1" si="71"/>
        <v>0</v>
      </c>
      <c r="AE281" s="223">
        <f t="shared" ca="1" si="72"/>
        <v>0</v>
      </c>
      <c r="AF281" s="229" t="str">
        <f t="shared" ca="1" si="73"/>
        <v/>
      </c>
      <c r="AH281" s="235">
        <f t="shared" si="74"/>
        <v>45369</v>
      </c>
      <c r="AI281" s="137">
        <f t="shared" ca="1" si="75"/>
        <v>0</v>
      </c>
      <c r="AJ281" s="137">
        <f t="shared" si="76"/>
        <v>0</v>
      </c>
      <c r="AK281" s="137">
        <f t="shared" ca="1" si="77"/>
        <v>0</v>
      </c>
      <c r="AL281" s="137">
        <f t="shared" ca="1" si="78"/>
        <v>0</v>
      </c>
      <c r="AM281" s="137">
        <f t="shared" si="79"/>
        <v>0</v>
      </c>
      <c r="AN281" s="137">
        <f t="shared" ca="1" si="80"/>
        <v>0</v>
      </c>
      <c r="AO281" s="137">
        <f t="shared" ca="1" si="81"/>
        <v>0</v>
      </c>
      <c r="AP281" s="137">
        <f t="shared" ca="1" si="82"/>
        <v>0</v>
      </c>
      <c r="AQ281" s="137">
        <f t="shared" si="83"/>
        <v>0</v>
      </c>
      <c r="AR281" s="236">
        <f t="shared" ca="1" si="84"/>
        <v>0</v>
      </c>
      <c r="AT281" s="241">
        <f t="shared" ca="1" si="85"/>
        <v>28</v>
      </c>
      <c r="AV281" s="222">
        <f t="shared" ca="1" si="86"/>
        <v>0</v>
      </c>
      <c r="AW281" s="247">
        <f t="shared" si="87"/>
        <v>91</v>
      </c>
      <c r="AY281" s="239">
        <f ca="1">(AE281=5)*('  B  '!F$110=1)*OR(AND(AND(A281&gt;=S$220,A281&gt;=I$214),AND(A281&lt;=S$221,A281&lt;=I$215)),AND(AND(A281&gt;=S$230,A281&gt;=I$224),AND(A281&lt;=S$231,A281&lt;=I$225)),AND(AND(A281&gt;=S$240,A281&gt;=I$234),AND(A281&lt;=S$241,A281&lt;=I$235)))</f>
        <v>0</v>
      </c>
      <c r="BA281" s="222">
        <f t="shared" ca="1" si="88"/>
        <v>0</v>
      </c>
      <c r="BB281" s="55">
        <f t="shared" ca="1" si="89"/>
        <v>0</v>
      </c>
      <c r="BC281" s="247">
        <f t="shared" si="90"/>
        <v>184</v>
      </c>
      <c r="BE281" s="239">
        <f t="shared" ca="1" si="91"/>
        <v>0</v>
      </c>
      <c r="BG281" s="239">
        <f t="shared" ca="1" si="92"/>
        <v>0</v>
      </c>
      <c r="BI281" s="222"/>
      <c r="BJ281" s="137">
        <v>0</v>
      </c>
      <c r="BK281" s="137">
        <v>0</v>
      </c>
      <c r="BL281" s="137">
        <f t="shared" ca="1" si="93"/>
        <v>1</v>
      </c>
      <c r="BM281" s="137">
        <f t="shared" ca="1" si="94"/>
        <v>1</v>
      </c>
      <c r="BN281" s="137">
        <f ca="1">(A281&gt;=N_LFP_Startdatum)*IF('  B  '!F$110=1,NOT(OR(A281&gt;S$221,A281&gt;S$231,A281&gt;S$241)),IF(BB281&gt;BC281,0,1))</f>
        <v>1</v>
      </c>
      <c r="BO281" s="137">
        <f t="shared" ca="1" si="95"/>
        <v>1</v>
      </c>
      <c r="BP281" s="137">
        <v>0</v>
      </c>
      <c r="BQ281" s="137">
        <f t="shared" ca="1" si="96"/>
        <v>1</v>
      </c>
      <c r="BR281" s="653">
        <v>0</v>
      </c>
      <c r="BS281" s="224">
        <f ca="1">(A281&gt;=N_LFP_Startdatum)*IF('  B  '!F$110=1,NOT(OR(A281&gt;S$221,A281&gt;S$231,A281&gt;S$241)),IF(BB281&gt;BC281,0,1))</f>
        <v>1</v>
      </c>
      <c r="BU281" s="562">
        <f t="shared" ca="1" si="97"/>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8"/>
        <v>0</v>
      </c>
      <c r="CA281" s="156">
        <f t="shared" ca="1" si="99"/>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0"/>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1"/>
        <v>0</v>
      </c>
      <c r="CL281" s="270">
        <f t="shared" ca="1" si="102"/>
        <v>0</v>
      </c>
      <c r="CM281" s="265">
        <f t="shared" ca="1" si="103"/>
        <v>0</v>
      </c>
      <c r="CO281" s="222"/>
      <c r="CP281" s="137">
        <v>0</v>
      </c>
      <c r="CQ281" s="137">
        <v>0</v>
      </c>
      <c r="CR281" s="137">
        <v>0</v>
      </c>
      <c r="CS281" s="137">
        <f t="shared" ca="1" si="104"/>
        <v>0</v>
      </c>
      <c r="CT281" s="137">
        <f t="shared" ca="1" si="105"/>
        <v>0</v>
      </c>
      <c r="CU281" s="137">
        <f t="shared" ca="1" si="106"/>
        <v>0</v>
      </c>
      <c r="CV281" s="137">
        <v>0</v>
      </c>
      <c r="CW281" s="137">
        <f t="shared" ca="1" si="107"/>
        <v>0</v>
      </c>
      <c r="CX281" s="137">
        <v>0</v>
      </c>
      <c r="CY281" s="224">
        <f t="shared" ca="1" si="108"/>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09"/>
        <v>0</v>
      </c>
      <c r="DF281" s="279">
        <f t="shared" ca="1" si="110"/>
        <v>0</v>
      </c>
      <c r="DG281" s="280">
        <f t="shared" ca="1" si="111"/>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4"/>
        <v>0</v>
      </c>
      <c r="DN281" s="279">
        <f t="shared" ca="1" si="115"/>
        <v>0</v>
      </c>
      <c r="DO281" s="279">
        <f t="shared" ca="1" si="116"/>
        <v>0</v>
      </c>
    </row>
    <row r="282" spans="1:119" x14ac:dyDescent="0.25">
      <c r="A282" s="153">
        <f t="shared" si="112"/>
        <v>45370</v>
      </c>
      <c r="B282" s="154"/>
      <c r="C282" s="154"/>
      <c r="D282" s="154"/>
      <c r="E282" s="875" t="str">
        <f t="shared" ca="1" si="56"/>
        <v/>
      </c>
      <c r="F282" s="876"/>
      <c r="G282" s="667">
        <f t="shared" ca="1" si="113"/>
        <v>0</v>
      </c>
      <c r="H282" s="667">
        <f t="shared" ca="1" si="57"/>
        <v>0</v>
      </c>
      <c r="I282" s="667">
        <f t="shared" ca="1" si="58"/>
        <v>0</v>
      </c>
      <c r="P282" s="151">
        <f t="shared" si="59"/>
        <v>125</v>
      </c>
      <c r="R282" s="55">
        <f t="shared" si="60"/>
        <v>0</v>
      </c>
      <c r="S282" s="55">
        <f t="shared" si="61"/>
        <v>1</v>
      </c>
      <c r="U282" s="226">
        <f t="shared" si="62"/>
        <v>0</v>
      </c>
      <c r="V282" s="137">
        <f t="shared" ca="1" si="63"/>
        <v>0</v>
      </c>
      <c r="W282" s="137">
        <f t="shared" si="64"/>
        <v>0</v>
      </c>
      <c r="X282" s="137">
        <f t="shared" si="65"/>
        <v>0</v>
      </c>
      <c r="Y282" s="137">
        <f t="shared" ca="1" si="66"/>
        <v>0</v>
      </c>
      <c r="Z282" s="137">
        <f t="shared" ca="1" si="67"/>
        <v>0</v>
      </c>
      <c r="AA282" s="137">
        <f t="shared" ca="1" si="68"/>
        <v>0</v>
      </c>
      <c r="AB282" s="137">
        <f t="shared" ca="1" si="69"/>
        <v>0</v>
      </c>
      <c r="AC282" s="137">
        <f t="shared" ca="1" si="70"/>
        <v>0</v>
      </c>
      <c r="AD282" s="137">
        <f t="shared" ca="1" si="71"/>
        <v>0</v>
      </c>
      <c r="AE282" s="223">
        <f t="shared" ca="1" si="72"/>
        <v>0</v>
      </c>
      <c r="AF282" s="229" t="str">
        <f t="shared" ca="1" si="73"/>
        <v/>
      </c>
      <c r="AH282" s="235">
        <f t="shared" si="74"/>
        <v>45370</v>
      </c>
      <c r="AI282" s="137">
        <f t="shared" ca="1" si="75"/>
        <v>0</v>
      </c>
      <c r="AJ282" s="137">
        <f t="shared" si="76"/>
        <v>0</v>
      </c>
      <c r="AK282" s="137">
        <f t="shared" ca="1" si="77"/>
        <v>0</v>
      </c>
      <c r="AL282" s="137">
        <f t="shared" ca="1" si="78"/>
        <v>0</v>
      </c>
      <c r="AM282" s="137">
        <f t="shared" si="79"/>
        <v>0</v>
      </c>
      <c r="AN282" s="137">
        <f t="shared" ca="1" si="80"/>
        <v>0</v>
      </c>
      <c r="AO282" s="137">
        <f t="shared" ca="1" si="81"/>
        <v>0</v>
      </c>
      <c r="AP282" s="137">
        <f t="shared" ca="1" si="82"/>
        <v>0</v>
      </c>
      <c r="AQ282" s="137">
        <f t="shared" si="83"/>
        <v>0</v>
      </c>
      <c r="AR282" s="236">
        <f t="shared" ca="1" si="84"/>
        <v>0</v>
      </c>
      <c r="AT282" s="241">
        <f t="shared" ca="1" si="85"/>
        <v>28</v>
      </c>
      <c r="AV282" s="222">
        <f t="shared" ca="1" si="86"/>
        <v>0</v>
      </c>
      <c r="AW282" s="247">
        <f t="shared" si="87"/>
        <v>91</v>
      </c>
      <c r="AY282" s="239">
        <f ca="1">(AE282=5)*('  B  '!F$110=1)*OR(AND(AND(A282&gt;=S$220,A282&gt;=I$214),AND(A282&lt;=S$221,A282&lt;=I$215)),AND(AND(A282&gt;=S$230,A282&gt;=I$224),AND(A282&lt;=S$231,A282&lt;=I$225)),AND(AND(A282&gt;=S$240,A282&gt;=I$234),AND(A282&lt;=S$241,A282&lt;=I$235)))</f>
        <v>0</v>
      </c>
      <c r="BA282" s="222">
        <f t="shared" ca="1" si="88"/>
        <v>0</v>
      </c>
      <c r="BB282" s="55">
        <f t="shared" ca="1" si="89"/>
        <v>0</v>
      </c>
      <c r="BC282" s="247">
        <f t="shared" si="90"/>
        <v>184</v>
      </c>
      <c r="BE282" s="239">
        <f t="shared" ca="1" si="91"/>
        <v>0</v>
      </c>
      <c r="BG282" s="239">
        <f t="shared" ca="1" si="92"/>
        <v>0</v>
      </c>
      <c r="BI282" s="222"/>
      <c r="BJ282" s="137">
        <v>0</v>
      </c>
      <c r="BK282" s="137">
        <v>0</v>
      </c>
      <c r="BL282" s="137">
        <f t="shared" ca="1" si="93"/>
        <v>1</v>
      </c>
      <c r="BM282" s="137">
        <f t="shared" ca="1" si="94"/>
        <v>1</v>
      </c>
      <c r="BN282" s="137">
        <f ca="1">(A282&gt;=N_LFP_Startdatum)*IF('  B  '!F$110=1,NOT(OR(A282&gt;S$221,A282&gt;S$231,A282&gt;S$241)),IF(BB282&gt;BC282,0,1))</f>
        <v>1</v>
      </c>
      <c r="BO282" s="137">
        <f t="shared" ca="1" si="95"/>
        <v>1</v>
      </c>
      <c r="BP282" s="137">
        <v>0</v>
      </c>
      <c r="BQ282" s="137">
        <f t="shared" ca="1" si="96"/>
        <v>1</v>
      </c>
      <c r="BR282" s="653">
        <v>0</v>
      </c>
      <c r="BS282" s="224">
        <f ca="1">(A282&gt;=N_LFP_Startdatum)*IF('  B  '!F$110=1,NOT(OR(A282&gt;S$221,A282&gt;S$231,A282&gt;S$241)),IF(BB282&gt;BC282,0,1))</f>
        <v>1</v>
      </c>
      <c r="BU282" s="562">
        <f t="shared" ca="1" si="97"/>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8"/>
        <v>0</v>
      </c>
      <c r="CA282" s="156">
        <f t="shared" ca="1" si="99"/>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0"/>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1"/>
        <v>0</v>
      </c>
      <c r="CL282" s="270">
        <f t="shared" ca="1" si="102"/>
        <v>0</v>
      </c>
      <c r="CM282" s="265">
        <f t="shared" ca="1" si="103"/>
        <v>0</v>
      </c>
      <c r="CO282" s="222"/>
      <c r="CP282" s="137">
        <v>0</v>
      </c>
      <c r="CQ282" s="137">
        <v>0</v>
      </c>
      <c r="CR282" s="137">
        <v>0</v>
      </c>
      <c r="CS282" s="137">
        <f t="shared" ca="1" si="104"/>
        <v>0</v>
      </c>
      <c r="CT282" s="137">
        <f t="shared" ca="1" si="105"/>
        <v>0</v>
      </c>
      <c r="CU282" s="137">
        <f t="shared" ca="1" si="106"/>
        <v>0</v>
      </c>
      <c r="CV282" s="137">
        <v>0</v>
      </c>
      <c r="CW282" s="137">
        <f t="shared" ca="1" si="107"/>
        <v>0</v>
      </c>
      <c r="CX282" s="137">
        <v>0</v>
      </c>
      <c r="CY282" s="224">
        <f t="shared" ca="1" si="108"/>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09"/>
        <v>0</v>
      </c>
      <c r="DF282" s="279">
        <f t="shared" ca="1" si="110"/>
        <v>0</v>
      </c>
      <c r="DG282" s="280">
        <f t="shared" ca="1" si="111"/>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4"/>
        <v>0</v>
      </c>
      <c r="DN282" s="279">
        <f t="shared" ca="1" si="115"/>
        <v>0</v>
      </c>
      <c r="DO282" s="279">
        <f t="shared" ca="1" si="116"/>
        <v>0</v>
      </c>
    </row>
    <row r="283" spans="1:119" x14ac:dyDescent="0.25">
      <c r="A283" s="153">
        <f t="shared" si="112"/>
        <v>45371</v>
      </c>
      <c r="B283" s="154"/>
      <c r="C283" s="154"/>
      <c r="D283" s="154"/>
      <c r="E283" s="875" t="str">
        <f t="shared" ca="1" si="56"/>
        <v/>
      </c>
      <c r="F283" s="876"/>
      <c r="G283" s="667">
        <f t="shared" ca="1" si="113"/>
        <v>0</v>
      </c>
      <c r="H283" s="667">
        <f t="shared" ca="1" si="57"/>
        <v>0</v>
      </c>
      <c r="I283" s="667">
        <f t="shared" ca="1" si="58"/>
        <v>0</v>
      </c>
      <c r="P283" s="151">
        <f t="shared" si="59"/>
        <v>125</v>
      </c>
      <c r="R283" s="55">
        <f t="shared" si="60"/>
        <v>0</v>
      </c>
      <c r="S283" s="55">
        <f t="shared" si="61"/>
        <v>1</v>
      </c>
      <c r="U283" s="226">
        <f t="shared" si="62"/>
        <v>0</v>
      </c>
      <c r="V283" s="137">
        <f t="shared" ca="1" si="63"/>
        <v>0</v>
      </c>
      <c r="W283" s="137">
        <f t="shared" si="64"/>
        <v>0</v>
      </c>
      <c r="X283" s="137">
        <f t="shared" si="65"/>
        <v>0</v>
      </c>
      <c r="Y283" s="137">
        <f t="shared" ca="1" si="66"/>
        <v>0</v>
      </c>
      <c r="Z283" s="137">
        <f t="shared" ca="1" si="67"/>
        <v>0</v>
      </c>
      <c r="AA283" s="137">
        <f t="shared" ca="1" si="68"/>
        <v>0</v>
      </c>
      <c r="AB283" s="137">
        <f t="shared" ca="1" si="69"/>
        <v>0</v>
      </c>
      <c r="AC283" s="137">
        <f t="shared" ca="1" si="70"/>
        <v>0</v>
      </c>
      <c r="AD283" s="137">
        <f t="shared" ca="1" si="71"/>
        <v>0</v>
      </c>
      <c r="AE283" s="223">
        <f t="shared" ca="1" si="72"/>
        <v>0</v>
      </c>
      <c r="AF283" s="229" t="str">
        <f t="shared" ca="1" si="73"/>
        <v/>
      </c>
      <c r="AH283" s="235">
        <f t="shared" si="74"/>
        <v>45371</v>
      </c>
      <c r="AI283" s="137">
        <f t="shared" ca="1" si="75"/>
        <v>0</v>
      </c>
      <c r="AJ283" s="137">
        <f t="shared" si="76"/>
        <v>0</v>
      </c>
      <c r="AK283" s="137">
        <f t="shared" ca="1" si="77"/>
        <v>0</v>
      </c>
      <c r="AL283" s="137">
        <f t="shared" ca="1" si="78"/>
        <v>0</v>
      </c>
      <c r="AM283" s="137">
        <f t="shared" si="79"/>
        <v>0</v>
      </c>
      <c r="AN283" s="137">
        <f t="shared" ca="1" si="80"/>
        <v>0</v>
      </c>
      <c r="AO283" s="137">
        <f t="shared" ca="1" si="81"/>
        <v>0</v>
      </c>
      <c r="AP283" s="137">
        <f t="shared" ca="1" si="82"/>
        <v>0</v>
      </c>
      <c r="AQ283" s="137">
        <f t="shared" si="83"/>
        <v>0</v>
      </c>
      <c r="AR283" s="236">
        <f t="shared" ca="1" si="84"/>
        <v>0</v>
      </c>
      <c r="AT283" s="241">
        <f t="shared" ca="1" si="85"/>
        <v>28</v>
      </c>
      <c r="AV283" s="222">
        <f t="shared" ca="1" si="86"/>
        <v>0</v>
      </c>
      <c r="AW283" s="247">
        <f t="shared" si="87"/>
        <v>91</v>
      </c>
      <c r="AY283" s="239">
        <f ca="1">(AE283=5)*('  B  '!F$110=1)*OR(AND(AND(A283&gt;=S$220,A283&gt;=I$214),AND(A283&lt;=S$221,A283&lt;=I$215)),AND(AND(A283&gt;=S$230,A283&gt;=I$224),AND(A283&lt;=S$231,A283&lt;=I$225)),AND(AND(A283&gt;=S$240,A283&gt;=I$234),AND(A283&lt;=S$241,A283&lt;=I$235)))</f>
        <v>0</v>
      </c>
      <c r="BA283" s="222">
        <f t="shared" ca="1" si="88"/>
        <v>0</v>
      </c>
      <c r="BB283" s="55">
        <f t="shared" ca="1" si="89"/>
        <v>0</v>
      </c>
      <c r="BC283" s="247">
        <f t="shared" si="90"/>
        <v>184</v>
      </c>
      <c r="BE283" s="239">
        <f t="shared" ca="1" si="91"/>
        <v>0</v>
      </c>
      <c r="BG283" s="239">
        <f t="shared" ca="1" si="92"/>
        <v>0</v>
      </c>
      <c r="BI283" s="222"/>
      <c r="BJ283" s="137">
        <v>0</v>
      </c>
      <c r="BK283" s="137">
        <v>0</v>
      </c>
      <c r="BL283" s="137">
        <f t="shared" ca="1" si="93"/>
        <v>1</v>
      </c>
      <c r="BM283" s="137">
        <f t="shared" ca="1" si="94"/>
        <v>1</v>
      </c>
      <c r="BN283" s="137">
        <f ca="1">(A283&gt;=N_LFP_Startdatum)*IF('  B  '!F$110=1,NOT(OR(A283&gt;S$221,A283&gt;S$231,A283&gt;S$241)),IF(BB283&gt;BC283,0,1))</f>
        <v>1</v>
      </c>
      <c r="BO283" s="137">
        <f t="shared" ca="1" si="95"/>
        <v>1</v>
      </c>
      <c r="BP283" s="137">
        <v>0</v>
      </c>
      <c r="BQ283" s="137">
        <f t="shared" ca="1" si="96"/>
        <v>1</v>
      </c>
      <c r="BR283" s="653">
        <v>0</v>
      </c>
      <c r="BS283" s="224">
        <f ca="1">(A283&gt;=N_LFP_Startdatum)*IF('  B  '!F$110=1,NOT(OR(A283&gt;S$221,A283&gt;S$231,A283&gt;S$241)),IF(BB283&gt;BC283,0,1))</f>
        <v>1</v>
      </c>
      <c r="BU283" s="562">
        <f t="shared" ca="1" si="97"/>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8"/>
        <v>0</v>
      </c>
      <c r="CA283" s="156">
        <f t="shared" ca="1" si="99"/>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0"/>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1"/>
        <v>0</v>
      </c>
      <c r="CL283" s="270">
        <f t="shared" ca="1" si="102"/>
        <v>0</v>
      </c>
      <c r="CM283" s="265">
        <f t="shared" ca="1" si="103"/>
        <v>0</v>
      </c>
      <c r="CO283" s="222"/>
      <c r="CP283" s="137">
        <v>0</v>
      </c>
      <c r="CQ283" s="137">
        <v>0</v>
      </c>
      <c r="CR283" s="137">
        <v>0</v>
      </c>
      <c r="CS283" s="137">
        <f t="shared" ca="1" si="104"/>
        <v>0</v>
      </c>
      <c r="CT283" s="137">
        <f t="shared" ca="1" si="105"/>
        <v>0</v>
      </c>
      <c r="CU283" s="137">
        <f t="shared" ca="1" si="106"/>
        <v>0</v>
      </c>
      <c r="CV283" s="137">
        <v>0</v>
      </c>
      <c r="CW283" s="137">
        <f t="shared" ca="1" si="107"/>
        <v>0</v>
      </c>
      <c r="CX283" s="137">
        <v>0</v>
      </c>
      <c r="CY283" s="224">
        <f t="shared" ca="1" si="108"/>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09"/>
        <v>0</v>
      </c>
      <c r="DF283" s="279">
        <f t="shared" ca="1" si="110"/>
        <v>0</v>
      </c>
      <c r="DG283" s="280">
        <f t="shared" ca="1" si="111"/>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4"/>
        <v>0</v>
      </c>
      <c r="DN283" s="279">
        <f t="shared" ca="1" si="115"/>
        <v>0</v>
      </c>
      <c r="DO283" s="279">
        <f t="shared" ca="1" si="116"/>
        <v>0</v>
      </c>
    </row>
    <row r="284" spans="1:119" ht="12.75" customHeight="1" x14ac:dyDescent="0.25">
      <c r="A284" s="153">
        <f t="shared" si="112"/>
        <v>45372</v>
      </c>
      <c r="B284" s="154"/>
      <c r="C284" s="154"/>
      <c r="D284" s="154"/>
      <c r="E284" s="875" t="str">
        <f t="shared" ca="1" si="56"/>
        <v/>
      </c>
      <c r="F284" s="876"/>
      <c r="G284" s="667">
        <f t="shared" ca="1" si="113"/>
        <v>0</v>
      </c>
      <c r="H284" s="667">
        <f t="shared" ca="1" si="57"/>
        <v>0</v>
      </c>
      <c r="I284" s="667">
        <f t="shared" ca="1" si="58"/>
        <v>0</v>
      </c>
      <c r="P284" s="151">
        <f t="shared" si="59"/>
        <v>125</v>
      </c>
      <c r="R284" s="55">
        <f t="shared" si="60"/>
        <v>0</v>
      </c>
      <c r="S284" s="55">
        <f t="shared" si="61"/>
        <v>1</v>
      </c>
      <c r="U284" s="226">
        <f t="shared" si="62"/>
        <v>0</v>
      </c>
      <c r="V284" s="137">
        <f t="shared" ca="1" si="63"/>
        <v>0</v>
      </c>
      <c r="W284" s="137">
        <f t="shared" si="64"/>
        <v>0</v>
      </c>
      <c r="X284" s="137">
        <f t="shared" si="65"/>
        <v>0</v>
      </c>
      <c r="Y284" s="137">
        <f t="shared" ca="1" si="66"/>
        <v>0</v>
      </c>
      <c r="Z284" s="137">
        <f t="shared" ca="1" si="67"/>
        <v>0</v>
      </c>
      <c r="AA284" s="137">
        <f t="shared" ca="1" si="68"/>
        <v>0</v>
      </c>
      <c r="AB284" s="137">
        <f t="shared" ca="1" si="69"/>
        <v>0</v>
      </c>
      <c r="AC284" s="137">
        <f t="shared" ca="1" si="70"/>
        <v>0</v>
      </c>
      <c r="AD284" s="137">
        <f t="shared" ca="1" si="71"/>
        <v>0</v>
      </c>
      <c r="AE284" s="223">
        <f t="shared" ca="1" si="72"/>
        <v>0</v>
      </c>
      <c r="AF284" s="229" t="str">
        <f t="shared" ca="1" si="73"/>
        <v/>
      </c>
      <c r="AH284" s="235">
        <f t="shared" si="74"/>
        <v>45372</v>
      </c>
      <c r="AI284" s="137">
        <f t="shared" ca="1" si="75"/>
        <v>0</v>
      </c>
      <c r="AJ284" s="137">
        <f t="shared" si="76"/>
        <v>0</v>
      </c>
      <c r="AK284" s="137">
        <f t="shared" ca="1" si="77"/>
        <v>0</v>
      </c>
      <c r="AL284" s="137">
        <f t="shared" ca="1" si="78"/>
        <v>0</v>
      </c>
      <c r="AM284" s="137">
        <f t="shared" si="79"/>
        <v>0</v>
      </c>
      <c r="AN284" s="137">
        <f t="shared" ca="1" si="80"/>
        <v>0</v>
      </c>
      <c r="AO284" s="137">
        <f t="shared" ca="1" si="81"/>
        <v>0</v>
      </c>
      <c r="AP284" s="137">
        <f t="shared" ca="1" si="82"/>
        <v>0</v>
      </c>
      <c r="AQ284" s="137">
        <f t="shared" si="83"/>
        <v>0</v>
      </c>
      <c r="AR284" s="236">
        <f t="shared" ca="1" si="84"/>
        <v>0</v>
      </c>
      <c r="AT284" s="241">
        <f t="shared" ca="1" si="85"/>
        <v>28</v>
      </c>
      <c r="AV284" s="222">
        <f t="shared" ca="1" si="86"/>
        <v>0</v>
      </c>
      <c r="AW284" s="247">
        <f t="shared" si="87"/>
        <v>91</v>
      </c>
      <c r="AY284" s="239">
        <f ca="1">(AE284=5)*('  B  '!F$110=1)*OR(AND(AND(A284&gt;=S$220,A284&gt;=I$214),AND(A284&lt;=S$221,A284&lt;=I$215)),AND(AND(A284&gt;=S$230,A284&gt;=I$224),AND(A284&lt;=S$231,A284&lt;=I$225)),AND(AND(A284&gt;=S$240,A284&gt;=I$234),AND(A284&lt;=S$241,A284&lt;=I$235)))</f>
        <v>0</v>
      </c>
      <c r="BA284" s="222">
        <f t="shared" ca="1" si="88"/>
        <v>0</v>
      </c>
      <c r="BB284" s="55">
        <f t="shared" ca="1" si="89"/>
        <v>0</v>
      </c>
      <c r="BC284" s="247">
        <f t="shared" si="90"/>
        <v>184</v>
      </c>
      <c r="BE284" s="239">
        <f t="shared" ca="1" si="91"/>
        <v>0</v>
      </c>
      <c r="BG284" s="239">
        <f t="shared" ca="1" si="92"/>
        <v>0</v>
      </c>
      <c r="BI284" s="222"/>
      <c r="BJ284" s="137">
        <v>0</v>
      </c>
      <c r="BK284" s="137">
        <v>0</v>
      </c>
      <c r="BL284" s="137">
        <f t="shared" ca="1" si="93"/>
        <v>1</v>
      </c>
      <c r="BM284" s="137">
        <f t="shared" ca="1" si="94"/>
        <v>1</v>
      </c>
      <c r="BN284" s="137">
        <f ca="1">(A284&gt;=N_LFP_Startdatum)*IF('  B  '!F$110=1,NOT(OR(A284&gt;S$221,A284&gt;S$231,A284&gt;S$241)),IF(BB284&gt;BC284,0,1))</f>
        <v>1</v>
      </c>
      <c r="BO284" s="137">
        <f t="shared" ca="1" si="95"/>
        <v>1</v>
      </c>
      <c r="BP284" s="137">
        <v>0</v>
      </c>
      <c r="BQ284" s="137">
        <f t="shared" ca="1" si="96"/>
        <v>1</v>
      </c>
      <c r="BR284" s="653">
        <v>0</v>
      </c>
      <c r="BS284" s="224">
        <f ca="1">(A284&gt;=N_LFP_Startdatum)*IF('  B  '!F$110=1,NOT(OR(A284&gt;S$221,A284&gt;S$231,A284&gt;S$241)),IF(BB284&gt;BC284,0,1))</f>
        <v>1</v>
      </c>
      <c r="BU284" s="562">
        <f t="shared" ca="1" si="97"/>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8"/>
        <v>0</v>
      </c>
      <c r="CA284" s="156">
        <f t="shared" ca="1" si="99"/>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0"/>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1"/>
        <v>0</v>
      </c>
      <c r="CL284" s="270">
        <f t="shared" ca="1" si="102"/>
        <v>0</v>
      </c>
      <c r="CM284" s="265">
        <f t="shared" ca="1" si="103"/>
        <v>0</v>
      </c>
      <c r="CO284" s="222"/>
      <c r="CP284" s="137">
        <v>0</v>
      </c>
      <c r="CQ284" s="137">
        <v>0</v>
      </c>
      <c r="CR284" s="137">
        <v>0</v>
      </c>
      <c r="CS284" s="137">
        <f t="shared" ca="1" si="104"/>
        <v>0</v>
      </c>
      <c r="CT284" s="137">
        <f t="shared" ca="1" si="105"/>
        <v>0</v>
      </c>
      <c r="CU284" s="137">
        <f t="shared" ca="1" si="106"/>
        <v>0</v>
      </c>
      <c r="CV284" s="137">
        <v>0</v>
      </c>
      <c r="CW284" s="137">
        <f t="shared" ca="1" si="107"/>
        <v>0</v>
      </c>
      <c r="CX284" s="137">
        <v>0</v>
      </c>
      <c r="CY284" s="224">
        <f t="shared" ca="1" si="108"/>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09"/>
        <v>0</v>
      </c>
      <c r="DF284" s="279">
        <f t="shared" ca="1" si="110"/>
        <v>0</v>
      </c>
      <c r="DG284" s="280">
        <f t="shared" ca="1" si="111"/>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4"/>
        <v>0</v>
      </c>
      <c r="DN284" s="279">
        <f t="shared" ca="1" si="115"/>
        <v>0</v>
      </c>
      <c r="DO284" s="279">
        <f t="shared" ca="1" si="116"/>
        <v>0</v>
      </c>
    </row>
    <row r="285" spans="1:119" x14ac:dyDescent="0.25">
      <c r="A285" s="153">
        <f t="shared" si="112"/>
        <v>45373</v>
      </c>
      <c r="B285" s="154"/>
      <c r="C285" s="154"/>
      <c r="D285" s="154"/>
      <c r="E285" s="875" t="str">
        <f t="shared" ca="1" si="56"/>
        <v/>
      </c>
      <c r="F285" s="876"/>
      <c r="G285" s="667">
        <f t="shared" ca="1" si="113"/>
        <v>0</v>
      </c>
      <c r="H285" s="667">
        <f t="shared" ca="1" si="57"/>
        <v>0</v>
      </c>
      <c r="I285" s="667">
        <f t="shared" ca="1" si="58"/>
        <v>0</v>
      </c>
      <c r="P285" s="151">
        <f t="shared" si="59"/>
        <v>125</v>
      </c>
      <c r="R285" s="55">
        <f t="shared" si="60"/>
        <v>0</v>
      </c>
      <c r="S285" s="55">
        <f t="shared" si="61"/>
        <v>1</v>
      </c>
      <c r="U285" s="226">
        <f t="shared" si="62"/>
        <v>0</v>
      </c>
      <c r="V285" s="137">
        <f t="shared" ca="1" si="63"/>
        <v>0</v>
      </c>
      <c r="W285" s="137">
        <f t="shared" si="64"/>
        <v>0</v>
      </c>
      <c r="X285" s="137">
        <f t="shared" si="65"/>
        <v>0</v>
      </c>
      <c r="Y285" s="137">
        <f t="shared" ca="1" si="66"/>
        <v>0</v>
      </c>
      <c r="Z285" s="137">
        <f t="shared" ca="1" si="67"/>
        <v>0</v>
      </c>
      <c r="AA285" s="137">
        <f t="shared" ca="1" si="68"/>
        <v>0</v>
      </c>
      <c r="AB285" s="137">
        <f t="shared" ca="1" si="69"/>
        <v>0</v>
      </c>
      <c r="AC285" s="137">
        <f t="shared" ca="1" si="70"/>
        <v>0</v>
      </c>
      <c r="AD285" s="137">
        <f t="shared" ca="1" si="71"/>
        <v>0</v>
      </c>
      <c r="AE285" s="223">
        <f t="shared" ca="1" si="72"/>
        <v>0</v>
      </c>
      <c r="AF285" s="229" t="str">
        <f t="shared" ca="1" si="73"/>
        <v/>
      </c>
      <c r="AH285" s="235">
        <f t="shared" si="74"/>
        <v>45373</v>
      </c>
      <c r="AI285" s="137">
        <f t="shared" ca="1" si="75"/>
        <v>0</v>
      </c>
      <c r="AJ285" s="137">
        <f t="shared" si="76"/>
        <v>0</v>
      </c>
      <c r="AK285" s="137">
        <f t="shared" ca="1" si="77"/>
        <v>0</v>
      </c>
      <c r="AL285" s="137">
        <f t="shared" ca="1" si="78"/>
        <v>0</v>
      </c>
      <c r="AM285" s="137">
        <f t="shared" si="79"/>
        <v>0</v>
      </c>
      <c r="AN285" s="137">
        <f t="shared" ca="1" si="80"/>
        <v>0</v>
      </c>
      <c r="AO285" s="137">
        <f t="shared" ca="1" si="81"/>
        <v>0</v>
      </c>
      <c r="AP285" s="137">
        <f t="shared" ca="1" si="82"/>
        <v>0</v>
      </c>
      <c r="AQ285" s="137">
        <f t="shared" si="83"/>
        <v>0</v>
      </c>
      <c r="AR285" s="236">
        <f t="shared" ca="1" si="84"/>
        <v>0</v>
      </c>
      <c r="AT285" s="241">
        <f t="shared" ca="1" si="85"/>
        <v>28</v>
      </c>
      <c r="AV285" s="222">
        <f t="shared" ca="1" si="86"/>
        <v>0</v>
      </c>
      <c r="AW285" s="247">
        <f t="shared" si="87"/>
        <v>91</v>
      </c>
      <c r="AY285" s="239">
        <f ca="1">(AE285=5)*('  B  '!F$110=1)*OR(AND(AND(A285&gt;=S$220,A285&gt;=I$214),AND(A285&lt;=S$221,A285&lt;=I$215)),AND(AND(A285&gt;=S$230,A285&gt;=I$224),AND(A285&lt;=S$231,A285&lt;=I$225)),AND(AND(A285&gt;=S$240,A285&gt;=I$234),AND(A285&lt;=S$241,A285&lt;=I$235)))</f>
        <v>0</v>
      </c>
      <c r="BA285" s="222">
        <f t="shared" ca="1" si="88"/>
        <v>0</v>
      </c>
      <c r="BB285" s="55">
        <f t="shared" ca="1" si="89"/>
        <v>0</v>
      </c>
      <c r="BC285" s="247">
        <f t="shared" si="90"/>
        <v>184</v>
      </c>
      <c r="BE285" s="239">
        <f t="shared" ca="1" si="91"/>
        <v>0</v>
      </c>
      <c r="BG285" s="239">
        <f t="shared" ca="1" si="92"/>
        <v>0</v>
      </c>
      <c r="BI285" s="222"/>
      <c r="BJ285" s="137">
        <v>0</v>
      </c>
      <c r="BK285" s="137">
        <v>0</v>
      </c>
      <c r="BL285" s="137">
        <f t="shared" ca="1" si="93"/>
        <v>1</v>
      </c>
      <c r="BM285" s="137">
        <f t="shared" ca="1" si="94"/>
        <v>1</v>
      </c>
      <c r="BN285" s="137">
        <f ca="1">(A285&gt;=N_LFP_Startdatum)*IF('  B  '!F$110=1,NOT(OR(A285&gt;S$221,A285&gt;S$231,A285&gt;S$241)),IF(BB285&gt;BC285,0,1))</f>
        <v>1</v>
      </c>
      <c r="BO285" s="137">
        <f t="shared" ca="1" si="95"/>
        <v>1</v>
      </c>
      <c r="BP285" s="137">
        <v>0</v>
      </c>
      <c r="BQ285" s="137">
        <f t="shared" ca="1" si="96"/>
        <v>1</v>
      </c>
      <c r="BR285" s="653">
        <v>0</v>
      </c>
      <c r="BS285" s="224">
        <f ca="1">(A285&gt;=N_LFP_Startdatum)*IF('  B  '!F$110=1,NOT(OR(A285&gt;S$221,A285&gt;S$231,A285&gt;S$241)),IF(BB285&gt;BC285,0,1))</f>
        <v>1</v>
      </c>
      <c r="BU285" s="562">
        <f t="shared" ca="1" si="97"/>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8"/>
        <v>0</v>
      </c>
      <c r="CA285" s="156">
        <f t="shared" ca="1" si="99"/>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0"/>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1"/>
        <v>0</v>
      </c>
      <c r="CL285" s="270">
        <f t="shared" ca="1" si="102"/>
        <v>0</v>
      </c>
      <c r="CM285" s="265">
        <f t="shared" ca="1" si="103"/>
        <v>0</v>
      </c>
      <c r="CO285" s="222"/>
      <c r="CP285" s="137">
        <v>0</v>
      </c>
      <c r="CQ285" s="137">
        <v>0</v>
      </c>
      <c r="CR285" s="137">
        <v>0</v>
      </c>
      <c r="CS285" s="137">
        <f t="shared" ca="1" si="104"/>
        <v>0</v>
      </c>
      <c r="CT285" s="137">
        <f t="shared" ca="1" si="105"/>
        <v>0</v>
      </c>
      <c r="CU285" s="137">
        <f t="shared" ca="1" si="106"/>
        <v>0</v>
      </c>
      <c r="CV285" s="137">
        <v>0</v>
      </c>
      <c r="CW285" s="137">
        <f t="shared" ca="1" si="107"/>
        <v>0</v>
      </c>
      <c r="CX285" s="137">
        <v>0</v>
      </c>
      <c r="CY285" s="224">
        <f t="shared" ca="1" si="108"/>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09"/>
        <v>0</v>
      </c>
      <c r="DF285" s="279">
        <f t="shared" ca="1" si="110"/>
        <v>0</v>
      </c>
      <c r="DG285" s="280">
        <f t="shared" ca="1" si="111"/>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4"/>
        <v>0</v>
      </c>
      <c r="DN285" s="279">
        <f t="shared" ca="1" si="115"/>
        <v>0</v>
      </c>
      <c r="DO285" s="279">
        <f t="shared" ca="1" si="116"/>
        <v>0</v>
      </c>
    </row>
    <row r="286" spans="1:119" x14ac:dyDescent="0.25">
      <c r="A286" s="153">
        <f t="shared" si="112"/>
        <v>45374</v>
      </c>
      <c r="B286" s="154"/>
      <c r="C286" s="154"/>
      <c r="D286" s="154"/>
      <c r="E286" s="875" t="str">
        <f t="shared" ca="1" si="56"/>
        <v/>
      </c>
      <c r="F286" s="876"/>
      <c r="G286" s="667">
        <f t="shared" ca="1" si="113"/>
        <v>0</v>
      </c>
      <c r="H286" s="667">
        <f t="shared" ca="1" si="57"/>
        <v>0</v>
      </c>
      <c r="I286" s="667">
        <f t="shared" ca="1" si="58"/>
        <v>0</v>
      </c>
      <c r="P286" s="151">
        <f t="shared" si="59"/>
        <v>125</v>
      </c>
      <c r="R286" s="55">
        <f t="shared" si="60"/>
        <v>0</v>
      </c>
      <c r="S286" s="55">
        <f t="shared" si="61"/>
        <v>1</v>
      </c>
      <c r="U286" s="226">
        <f t="shared" si="62"/>
        <v>0</v>
      </c>
      <c r="V286" s="137">
        <f t="shared" ca="1" si="63"/>
        <v>0</v>
      </c>
      <c r="W286" s="137">
        <f t="shared" si="64"/>
        <v>0</v>
      </c>
      <c r="X286" s="137">
        <f t="shared" si="65"/>
        <v>0</v>
      </c>
      <c r="Y286" s="137">
        <f t="shared" ca="1" si="66"/>
        <v>0</v>
      </c>
      <c r="Z286" s="137">
        <f t="shared" ca="1" si="67"/>
        <v>0</v>
      </c>
      <c r="AA286" s="137">
        <f t="shared" ca="1" si="68"/>
        <v>0</v>
      </c>
      <c r="AB286" s="137">
        <f t="shared" ca="1" si="69"/>
        <v>0</v>
      </c>
      <c r="AC286" s="137">
        <f t="shared" ca="1" si="70"/>
        <v>0</v>
      </c>
      <c r="AD286" s="137">
        <f t="shared" ca="1" si="71"/>
        <v>0</v>
      </c>
      <c r="AE286" s="223">
        <f t="shared" ca="1" si="72"/>
        <v>0</v>
      </c>
      <c r="AF286" s="229" t="str">
        <f t="shared" ca="1" si="73"/>
        <v/>
      </c>
      <c r="AH286" s="235">
        <f t="shared" si="74"/>
        <v>45374</v>
      </c>
      <c r="AI286" s="137">
        <f t="shared" ca="1" si="75"/>
        <v>0</v>
      </c>
      <c r="AJ286" s="137">
        <f t="shared" si="76"/>
        <v>0</v>
      </c>
      <c r="AK286" s="137">
        <f t="shared" ca="1" si="77"/>
        <v>0</v>
      </c>
      <c r="AL286" s="137">
        <f t="shared" ca="1" si="78"/>
        <v>0</v>
      </c>
      <c r="AM286" s="137">
        <f t="shared" si="79"/>
        <v>0</v>
      </c>
      <c r="AN286" s="137">
        <f t="shared" ca="1" si="80"/>
        <v>0</v>
      </c>
      <c r="AO286" s="137">
        <f t="shared" ca="1" si="81"/>
        <v>0</v>
      </c>
      <c r="AP286" s="137">
        <f t="shared" ca="1" si="82"/>
        <v>0</v>
      </c>
      <c r="AQ286" s="137">
        <f t="shared" si="83"/>
        <v>0</v>
      </c>
      <c r="AR286" s="236">
        <f t="shared" ca="1" si="84"/>
        <v>0</v>
      </c>
      <c r="AT286" s="241">
        <f t="shared" ca="1" si="85"/>
        <v>28</v>
      </c>
      <c r="AV286" s="222">
        <f t="shared" ca="1" si="86"/>
        <v>0</v>
      </c>
      <c r="AW286" s="247">
        <f t="shared" si="87"/>
        <v>91</v>
      </c>
      <c r="AY286" s="239">
        <f ca="1">(AE286=5)*('  B  '!F$110=1)*OR(AND(AND(A286&gt;=S$220,A286&gt;=I$214),AND(A286&lt;=S$221,A286&lt;=I$215)),AND(AND(A286&gt;=S$230,A286&gt;=I$224),AND(A286&lt;=S$231,A286&lt;=I$225)),AND(AND(A286&gt;=S$240,A286&gt;=I$234),AND(A286&lt;=S$241,A286&lt;=I$235)))</f>
        <v>0</v>
      </c>
      <c r="BA286" s="222">
        <f t="shared" ca="1" si="88"/>
        <v>0</v>
      </c>
      <c r="BB286" s="55">
        <f t="shared" ca="1" si="89"/>
        <v>0</v>
      </c>
      <c r="BC286" s="247">
        <f t="shared" si="90"/>
        <v>184</v>
      </c>
      <c r="BE286" s="239">
        <f t="shared" ca="1" si="91"/>
        <v>0</v>
      </c>
      <c r="BG286" s="239">
        <f t="shared" ca="1" si="92"/>
        <v>0</v>
      </c>
      <c r="BI286" s="222"/>
      <c r="BJ286" s="137">
        <v>0</v>
      </c>
      <c r="BK286" s="137">
        <v>0</v>
      </c>
      <c r="BL286" s="137">
        <f t="shared" ca="1" si="93"/>
        <v>1</v>
      </c>
      <c r="BM286" s="137">
        <f t="shared" ca="1" si="94"/>
        <v>1</v>
      </c>
      <c r="BN286" s="137">
        <f ca="1">(A286&gt;=N_LFP_Startdatum)*IF('  B  '!F$110=1,NOT(OR(A286&gt;S$221,A286&gt;S$231,A286&gt;S$241)),IF(BB286&gt;BC286,0,1))</f>
        <v>1</v>
      </c>
      <c r="BO286" s="137">
        <f t="shared" ca="1" si="95"/>
        <v>1</v>
      </c>
      <c r="BP286" s="137">
        <v>0</v>
      </c>
      <c r="BQ286" s="137">
        <f t="shared" ca="1" si="96"/>
        <v>1</v>
      </c>
      <c r="BR286" s="653">
        <v>0</v>
      </c>
      <c r="BS286" s="224">
        <f ca="1">(A286&gt;=N_LFP_Startdatum)*IF('  B  '!F$110=1,NOT(OR(A286&gt;S$221,A286&gt;S$231,A286&gt;S$241)),IF(BB286&gt;BC286,0,1))</f>
        <v>1</v>
      </c>
      <c r="BU286" s="562">
        <f t="shared" ca="1" si="97"/>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8"/>
        <v>0</v>
      </c>
      <c r="CA286" s="156">
        <f t="shared" ca="1" si="99"/>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0"/>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1"/>
        <v>0</v>
      </c>
      <c r="CL286" s="270">
        <f t="shared" ca="1" si="102"/>
        <v>0</v>
      </c>
      <c r="CM286" s="265">
        <f t="shared" ca="1" si="103"/>
        <v>0</v>
      </c>
      <c r="CO286" s="222"/>
      <c r="CP286" s="137">
        <v>0</v>
      </c>
      <c r="CQ286" s="137">
        <v>0</v>
      </c>
      <c r="CR286" s="137">
        <v>0</v>
      </c>
      <c r="CS286" s="137">
        <f t="shared" ca="1" si="104"/>
        <v>0</v>
      </c>
      <c r="CT286" s="137">
        <f t="shared" ca="1" si="105"/>
        <v>0</v>
      </c>
      <c r="CU286" s="137">
        <f t="shared" ca="1" si="106"/>
        <v>0</v>
      </c>
      <c r="CV286" s="137">
        <v>0</v>
      </c>
      <c r="CW286" s="137">
        <f t="shared" ca="1" si="107"/>
        <v>0</v>
      </c>
      <c r="CX286" s="137">
        <v>0</v>
      </c>
      <c r="CY286" s="224">
        <f t="shared" ca="1" si="108"/>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09"/>
        <v>0</v>
      </c>
      <c r="DF286" s="279">
        <f t="shared" ca="1" si="110"/>
        <v>0</v>
      </c>
      <c r="DG286" s="280">
        <f t="shared" ca="1" si="111"/>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4"/>
        <v>0</v>
      </c>
      <c r="DN286" s="279">
        <f t="shared" ca="1" si="115"/>
        <v>0</v>
      </c>
      <c r="DO286" s="279">
        <f t="shared" ca="1" si="116"/>
        <v>0</v>
      </c>
    </row>
    <row r="287" spans="1:119" x14ac:dyDescent="0.25">
      <c r="A287" s="153">
        <f t="shared" si="112"/>
        <v>45375</v>
      </c>
      <c r="B287" s="154"/>
      <c r="C287" s="154"/>
      <c r="D287" s="154"/>
      <c r="E287" s="875" t="str">
        <f t="shared" ca="1" si="56"/>
        <v/>
      </c>
      <c r="F287" s="876"/>
      <c r="G287" s="667">
        <f t="shared" ca="1" si="113"/>
        <v>0</v>
      </c>
      <c r="H287" s="667">
        <f t="shared" ca="1" si="57"/>
        <v>0</v>
      </c>
      <c r="I287" s="667">
        <f t="shared" ca="1" si="58"/>
        <v>0</v>
      </c>
      <c r="P287" s="151">
        <f t="shared" si="59"/>
        <v>125</v>
      </c>
      <c r="R287" s="55">
        <f t="shared" si="60"/>
        <v>0</v>
      </c>
      <c r="S287" s="55">
        <f t="shared" si="61"/>
        <v>1</v>
      </c>
      <c r="U287" s="226">
        <f t="shared" si="62"/>
        <v>0</v>
      </c>
      <c r="V287" s="137">
        <f t="shared" ca="1" si="63"/>
        <v>0</v>
      </c>
      <c r="W287" s="137">
        <f t="shared" si="64"/>
        <v>0</v>
      </c>
      <c r="X287" s="137">
        <f t="shared" si="65"/>
        <v>0</v>
      </c>
      <c r="Y287" s="137">
        <f t="shared" ca="1" si="66"/>
        <v>0</v>
      </c>
      <c r="Z287" s="137">
        <f t="shared" ca="1" si="67"/>
        <v>0</v>
      </c>
      <c r="AA287" s="137">
        <f t="shared" ca="1" si="68"/>
        <v>0</v>
      </c>
      <c r="AB287" s="137">
        <f t="shared" ca="1" si="69"/>
        <v>0</v>
      </c>
      <c r="AC287" s="137">
        <f t="shared" ca="1" si="70"/>
        <v>0</v>
      </c>
      <c r="AD287" s="137">
        <f t="shared" ca="1" si="71"/>
        <v>0</v>
      </c>
      <c r="AE287" s="223">
        <f t="shared" ca="1" si="72"/>
        <v>0</v>
      </c>
      <c r="AF287" s="229" t="str">
        <f t="shared" ca="1" si="73"/>
        <v/>
      </c>
      <c r="AH287" s="235">
        <f t="shared" si="74"/>
        <v>45375</v>
      </c>
      <c r="AI287" s="137">
        <f t="shared" ca="1" si="75"/>
        <v>0</v>
      </c>
      <c r="AJ287" s="137">
        <f t="shared" si="76"/>
        <v>0</v>
      </c>
      <c r="AK287" s="137">
        <f t="shared" ca="1" si="77"/>
        <v>0</v>
      </c>
      <c r="AL287" s="137">
        <f t="shared" ca="1" si="78"/>
        <v>0</v>
      </c>
      <c r="AM287" s="137">
        <f t="shared" si="79"/>
        <v>0</v>
      </c>
      <c r="AN287" s="137">
        <f t="shared" ca="1" si="80"/>
        <v>0</v>
      </c>
      <c r="AO287" s="137">
        <f t="shared" ca="1" si="81"/>
        <v>0</v>
      </c>
      <c r="AP287" s="137">
        <f t="shared" ca="1" si="82"/>
        <v>0</v>
      </c>
      <c r="AQ287" s="137">
        <f t="shared" si="83"/>
        <v>0</v>
      </c>
      <c r="AR287" s="236">
        <f t="shared" ca="1" si="84"/>
        <v>0</v>
      </c>
      <c r="AT287" s="241">
        <f t="shared" ca="1" si="85"/>
        <v>28</v>
      </c>
      <c r="AV287" s="222">
        <f t="shared" ca="1" si="86"/>
        <v>0</v>
      </c>
      <c r="AW287" s="247">
        <f t="shared" si="87"/>
        <v>91</v>
      </c>
      <c r="AY287" s="239">
        <f ca="1">(AE287=5)*('  B  '!F$110=1)*OR(AND(AND(A287&gt;=S$220,A287&gt;=I$214),AND(A287&lt;=S$221,A287&lt;=I$215)),AND(AND(A287&gt;=S$230,A287&gt;=I$224),AND(A287&lt;=S$231,A287&lt;=I$225)),AND(AND(A287&gt;=S$240,A287&gt;=I$234),AND(A287&lt;=S$241,A287&lt;=I$235)))</f>
        <v>0</v>
      </c>
      <c r="BA287" s="222">
        <f t="shared" ca="1" si="88"/>
        <v>0</v>
      </c>
      <c r="BB287" s="55">
        <f t="shared" ca="1" si="89"/>
        <v>0</v>
      </c>
      <c r="BC287" s="247">
        <f t="shared" si="90"/>
        <v>184</v>
      </c>
      <c r="BE287" s="239">
        <f t="shared" ca="1" si="91"/>
        <v>0</v>
      </c>
      <c r="BG287" s="239">
        <f t="shared" ca="1" si="92"/>
        <v>0</v>
      </c>
      <c r="BI287" s="222"/>
      <c r="BJ287" s="137">
        <v>0</v>
      </c>
      <c r="BK287" s="137">
        <v>0</v>
      </c>
      <c r="BL287" s="137">
        <f t="shared" ca="1" si="93"/>
        <v>1</v>
      </c>
      <c r="BM287" s="137">
        <f t="shared" ca="1" si="94"/>
        <v>1</v>
      </c>
      <c r="BN287" s="137">
        <f ca="1">(A287&gt;=N_LFP_Startdatum)*IF('  B  '!F$110=1,NOT(OR(A287&gt;S$221,A287&gt;S$231,A287&gt;S$241)),IF(BB287&gt;BC287,0,1))</f>
        <v>1</v>
      </c>
      <c r="BO287" s="137">
        <f t="shared" ca="1" si="95"/>
        <v>1</v>
      </c>
      <c r="BP287" s="137">
        <v>0</v>
      </c>
      <c r="BQ287" s="137">
        <f t="shared" ca="1" si="96"/>
        <v>1</v>
      </c>
      <c r="BR287" s="653">
        <v>0</v>
      </c>
      <c r="BS287" s="224">
        <f ca="1">(A287&gt;=N_LFP_Startdatum)*IF('  B  '!F$110=1,NOT(OR(A287&gt;S$221,A287&gt;S$231,A287&gt;S$241)),IF(BB287&gt;BC287,0,1))</f>
        <v>1</v>
      </c>
      <c r="BU287" s="562">
        <f t="shared" ca="1" si="97"/>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8"/>
        <v>0</v>
      </c>
      <c r="CA287" s="156">
        <f t="shared" ca="1" si="99"/>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0"/>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1"/>
        <v>0</v>
      </c>
      <c r="CL287" s="270">
        <f t="shared" ca="1" si="102"/>
        <v>0</v>
      </c>
      <c r="CM287" s="265">
        <f t="shared" ca="1" si="103"/>
        <v>0</v>
      </c>
      <c r="CO287" s="222"/>
      <c r="CP287" s="137">
        <v>0</v>
      </c>
      <c r="CQ287" s="137">
        <v>0</v>
      </c>
      <c r="CR287" s="137">
        <v>0</v>
      </c>
      <c r="CS287" s="137">
        <f t="shared" ca="1" si="104"/>
        <v>0</v>
      </c>
      <c r="CT287" s="137">
        <f t="shared" ca="1" si="105"/>
        <v>0</v>
      </c>
      <c r="CU287" s="137">
        <f t="shared" ca="1" si="106"/>
        <v>0</v>
      </c>
      <c r="CV287" s="137">
        <v>0</v>
      </c>
      <c r="CW287" s="137">
        <f t="shared" ca="1" si="107"/>
        <v>0</v>
      </c>
      <c r="CX287" s="137">
        <v>0</v>
      </c>
      <c r="CY287" s="224">
        <f t="shared" ca="1" si="108"/>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09"/>
        <v>0</v>
      </c>
      <c r="DF287" s="279">
        <f t="shared" ca="1" si="110"/>
        <v>0</v>
      </c>
      <c r="DG287" s="280">
        <f t="shared" ca="1" si="111"/>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4"/>
        <v>0</v>
      </c>
      <c r="DN287" s="279">
        <f t="shared" ca="1" si="115"/>
        <v>0</v>
      </c>
      <c r="DO287" s="279">
        <f t="shared" ca="1" si="116"/>
        <v>0</v>
      </c>
    </row>
    <row r="288" spans="1:119" x14ac:dyDescent="0.25">
      <c r="A288" s="153">
        <f t="shared" si="112"/>
        <v>45376</v>
      </c>
      <c r="B288" s="154"/>
      <c r="C288" s="154"/>
      <c r="D288" s="154"/>
      <c r="E288" s="875" t="str">
        <f t="shared" ca="1" si="56"/>
        <v/>
      </c>
      <c r="F288" s="876"/>
      <c r="G288" s="667">
        <f t="shared" ca="1" si="113"/>
        <v>0</v>
      </c>
      <c r="H288" s="667">
        <f t="shared" ca="1" si="57"/>
        <v>0</v>
      </c>
      <c r="I288" s="667">
        <f t="shared" ca="1" si="58"/>
        <v>0</v>
      </c>
      <c r="P288" s="151">
        <f t="shared" si="59"/>
        <v>125</v>
      </c>
      <c r="R288" s="55">
        <f t="shared" si="60"/>
        <v>0</v>
      </c>
      <c r="S288" s="55">
        <f t="shared" si="61"/>
        <v>1</v>
      </c>
      <c r="U288" s="226">
        <f t="shared" si="62"/>
        <v>0</v>
      </c>
      <c r="V288" s="137">
        <f t="shared" ca="1" si="63"/>
        <v>0</v>
      </c>
      <c r="W288" s="137">
        <f t="shared" si="64"/>
        <v>0</v>
      </c>
      <c r="X288" s="137">
        <f t="shared" si="65"/>
        <v>0</v>
      </c>
      <c r="Y288" s="137">
        <f t="shared" ca="1" si="66"/>
        <v>0</v>
      </c>
      <c r="Z288" s="137">
        <f t="shared" ca="1" si="67"/>
        <v>0</v>
      </c>
      <c r="AA288" s="137">
        <f t="shared" ca="1" si="68"/>
        <v>0</v>
      </c>
      <c r="AB288" s="137">
        <f t="shared" ca="1" si="69"/>
        <v>0</v>
      </c>
      <c r="AC288" s="137">
        <f t="shared" ca="1" si="70"/>
        <v>0</v>
      </c>
      <c r="AD288" s="137">
        <f t="shared" ca="1" si="71"/>
        <v>0</v>
      </c>
      <c r="AE288" s="223">
        <f t="shared" ca="1" si="72"/>
        <v>0</v>
      </c>
      <c r="AF288" s="229" t="str">
        <f t="shared" ca="1" si="73"/>
        <v/>
      </c>
      <c r="AH288" s="235">
        <f t="shared" si="74"/>
        <v>45376</v>
      </c>
      <c r="AI288" s="137">
        <f t="shared" ca="1" si="75"/>
        <v>0</v>
      </c>
      <c r="AJ288" s="137">
        <f t="shared" si="76"/>
        <v>0</v>
      </c>
      <c r="AK288" s="137">
        <f t="shared" ca="1" si="77"/>
        <v>0</v>
      </c>
      <c r="AL288" s="137">
        <f t="shared" ca="1" si="78"/>
        <v>0</v>
      </c>
      <c r="AM288" s="137">
        <f t="shared" si="79"/>
        <v>0</v>
      </c>
      <c r="AN288" s="137">
        <f t="shared" ca="1" si="80"/>
        <v>0</v>
      </c>
      <c r="AO288" s="137">
        <f t="shared" ca="1" si="81"/>
        <v>0</v>
      </c>
      <c r="AP288" s="137">
        <f t="shared" ca="1" si="82"/>
        <v>0</v>
      </c>
      <c r="AQ288" s="137">
        <f t="shared" si="83"/>
        <v>0</v>
      </c>
      <c r="AR288" s="236">
        <f t="shared" ca="1" si="84"/>
        <v>0</v>
      </c>
      <c r="AT288" s="241">
        <f t="shared" ca="1" si="85"/>
        <v>28</v>
      </c>
      <c r="AV288" s="222">
        <f t="shared" ca="1" si="86"/>
        <v>0</v>
      </c>
      <c r="AW288" s="247">
        <f t="shared" si="87"/>
        <v>91</v>
      </c>
      <c r="AY288" s="239">
        <f ca="1">(AE288=5)*('  B  '!F$110=1)*OR(AND(AND(A288&gt;=S$220,A288&gt;=I$214),AND(A288&lt;=S$221,A288&lt;=I$215)),AND(AND(A288&gt;=S$230,A288&gt;=I$224),AND(A288&lt;=S$231,A288&lt;=I$225)),AND(AND(A288&gt;=S$240,A288&gt;=I$234),AND(A288&lt;=S$241,A288&lt;=I$235)))</f>
        <v>0</v>
      </c>
      <c r="BA288" s="222">
        <f t="shared" ca="1" si="88"/>
        <v>0</v>
      </c>
      <c r="BB288" s="55">
        <f t="shared" ca="1" si="89"/>
        <v>0</v>
      </c>
      <c r="BC288" s="247">
        <f t="shared" si="90"/>
        <v>184</v>
      </c>
      <c r="BE288" s="239">
        <f t="shared" ca="1" si="91"/>
        <v>0</v>
      </c>
      <c r="BG288" s="239">
        <f t="shared" ca="1" si="92"/>
        <v>0</v>
      </c>
      <c r="BI288" s="222"/>
      <c r="BJ288" s="137">
        <v>0</v>
      </c>
      <c r="BK288" s="137">
        <v>0</v>
      </c>
      <c r="BL288" s="137">
        <f t="shared" ca="1" si="93"/>
        <v>1</v>
      </c>
      <c r="BM288" s="137">
        <f t="shared" ca="1" si="94"/>
        <v>1</v>
      </c>
      <c r="BN288" s="137">
        <f ca="1">(A288&gt;=N_LFP_Startdatum)*IF('  B  '!F$110=1,NOT(OR(A288&gt;S$221,A288&gt;S$231,A288&gt;S$241)),IF(BB288&gt;BC288,0,1))</f>
        <v>1</v>
      </c>
      <c r="BO288" s="137">
        <f t="shared" ca="1" si="95"/>
        <v>1</v>
      </c>
      <c r="BP288" s="137">
        <v>0</v>
      </c>
      <c r="BQ288" s="137">
        <f t="shared" ca="1" si="96"/>
        <v>1</v>
      </c>
      <c r="BR288" s="653">
        <v>0</v>
      </c>
      <c r="BS288" s="224">
        <f ca="1">(A288&gt;=N_LFP_Startdatum)*IF('  B  '!F$110=1,NOT(OR(A288&gt;S$221,A288&gt;S$231,A288&gt;S$241)),IF(BB288&gt;BC288,0,1))</f>
        <v>1</v>
      </c>
      <c r="BU288" s="562">
        <f t="shared" ca="1" si="97"/>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8"/>
        <v>0</v>
      </c>
      <c r="CA288" s="156">
        <f t="shared" ca="1" si="99"/>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0"/>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1"/>
        <v>0</v>
      </c>
      <c r="CL288" s="270">
        <f t="shared" ca="1" si="102"/>
        <v>0</v>
      </c>
      <c r="CM288" s="265">
        <f t="shared" ca="1" si="103"/>
        <v>0</v>
      </c>
      <c r="CO288" s="222"/>
      <c r="CP288" s="137">
        <v>0</v>
      </c>
      <c r="CQ288" s="137">
        <v>0</v>
      </c>
      <c r="CR288" s="137">
        <v>0</v>
      </c>
      <c r="CS288" s="137">
        <f t="shared" ca="1" si="104"/>
        <v>0</v>
      </c>
      <c r="CT288" s="137">
        <f t="shared" ca="1" si="105"/>
        <v>0</v>
      </c>
      <c r="CU288" s="137">
        <f t="shared" ca="1" si="106"/>
        <v>0</v>
      </c>
      <c r="CV288" s="137">
        <v>0</v>
      </c>
      <c r="CW288" s="137">
        <f t="shared" ca="1" si="107"/>
        <v>0</v>
      </c>
      <c r="CX288" s="137">
        <v>0</v>
      </c>
      <c r="CY288" s="224">
        <f t="shared" ca="1" si="108"/>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09"/>
        <v>0</v>
      </c>
      <c r="DF288" s="279">
        <f t="shared" ca="1" si="110"/>
        <v>0</v>
      </c>
      <c r="DG288" s="280">
        <f t="shared" ca="1" si="111"/>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4"/>
        <v>0</v>
      </c>
      <c r="DN288" s="279">
        <f t="shared" ca="1" si="115"/>
        <v>0</v>
      </c>
      <c r="DO288" s="279">
        <f t="shared" ca="1" si="116"/>
        <v>0</v>
      </c>
    </row>
    <row r="289" spans="1:119" x14ac:dyDescent="0.25">
      <c r="A289" s="153">
        <f t="shared" si="112"/>
        <v>45377</v>
      </c>
      <c r="B289" s="154"/>
      <c r="C289" s="154"/>
      <c r="D289" s="154"/>
      <c r="E289" s="875" t="str">
        <f t="shared" ca="1" si="56"/>
        <v/>
      </c>
      <c r="F289" s="876"/>
      <c r="G289" s="667">
        <f t="shared" ca="1" si="113"/>
        <v>0</v>
      </c>
      <c r="H289" s="667">
        <f t="shared" ca="1" si="57"/>
        <v>0</v>
      </c>
      <c r="I289" s="667">
        <f t="shared" ca="1" si="58"/>
        <v>0</v>
      </c>
      <c r="P289" s="151">
        <f t="shared" si="59"/>
        <v>125</v>
      </c>
      <c r="R289" s="55">
        <f t="shared" si="60"/>
        <v>0</v>
      </c>
      <c r="S289" s="55">
        <f t="shared" si="61"/>
        <v>1</v>
      </c>
      <c r="U289" s="226">
        <f t="shared" si="62"/>
        <v>0</v>
      </c>
      <c r="V289" s="137">
        <f t="shared" ca="1" si="63"/>
        <v>0</v>
      </c>
      <c r="W289" s="137">
        <f t="shared" si="64"/>
        <v>0</v>
      </c>
      <c r="X289" s="137">
        <f t="shared" si="65"/>
        <v>0</v>
      </c>
      <c r="Y289" s="137">
        <f t="shared" ca="1" si="66"/>
        <v>0</v>
      </c>
      <c r="Z289" s="137">
        <f t="shared" ca="1" si="67"/>
        <v>0</v>
      </c>
      <c r="AA289" s="137">
        <f t="shared" ca="1" si="68"/>
        <v>0</v>
      </c>
      <c r="AB289" s="137">
        <f t="shared" ca="1" si="69"/>
        <v>0</v>
      </c>
      <c r="AC289" s="137">
        <f t="shared" ca="1" si="70"/>
        <v>0</v>
      </c>
      <c r="AD289" s="137">
        <f t="shared" ca="1" si="71"/>
        <v>0</v>
      </c>
      <c r="AE289" s="223">
        <f t="shared" ca="1" si="72"/>
        <v>0</v>
      </c>
      <c r="AF289" s="229" t="str">
        <f t="shared" ca="1" si="73"/>
        <v/>
      </c>
      <c r="AH289" s="235">
        <f t="shared" si="74"/>
        <v>45377</v>
      </c>
      <c r="AI289" s="137">
        <f t="shared" ca="1" si="75"/>
        <v>0</v>
      </c>
      <c r="AJ289" s="137">
        <f t="shared" si="76"/>
        <v>0</v>
      </c>
      <c r="AK289" s="137">
        <f t="shared" ca="1" si="77"/>
        <v>0</v>
      </c>
      <c r="AL289" s="137">
        <f t="shared" ca="1" si="78"/>
        <v>0</v>
      </c>
      <c r="AM289" s="137">
        <f t="shared" si="79"/>
        <v>0</v>
      </c>
      <c r="AN289" s="137">
        <f t="shared" ca="1" si="80"/>
        <v>0</v>
      </c>
      <c r="AO289" s="137">
        <f t="shared" ca="1" si="81"/>
        <v>0</v>
      </c>
      <c r="AP289" s="137">
        <f t="shared" ca="1" si="82"/>
        <v>0</v>
      </c>
      <c r="AQ289" s="137">
        <f t="shared" si="83"/>
        <v>0</v>
      </c>
      <c r="AR289" s="236">
        <f t="shared" ca="1" si="84"/>
        <v>0</v>
      </c>
      <c r="AT289" s="241">
        <f t="shared" ca="1" si="85"/>
        <v>28</v>
      </c>
      <c r="AV289" s="222">
        <f t="shared" ca="1" si="86"/>
        <v>0</v>
      </c>
      <c r="AW289" s="247">
        <f t="shared" si="87"/>
        <v>91</v>
      </c>
      <c r="AY289" s="239">
        <f ca="1">(AE289=5)*('  B  '!F$110=1)*OR(AND(AND(A289&gt;=S$220,A289&gt;=I$214),AND(A289&lt;=S$221,A289&lt;=I$215)),AND(AND(A289&gt;=S$230,A289&gt;=I$224),AND(A289&lt;=S$231,A289&lt;=I$225)),AND(AND(A289&gt;=S$240,A289&gt;=I$234),AND(A289&lt;=S$241,A289&lt;=I$235)))</f>
        <v>0</v>
      </c>
      <c r="BA289" s="222">
        <f t="shared" ca="1" si="88"/>
        <v>0</v>
      </c>
      <c r="BB289" s="55">
        <f t="shared" ca="1" si="89"/>
        <v>0</v>
      </c>
      <c r="BC289" s="247">
        <f t="shared" si="90"/>
        <v>184</v>
      </c>
      <c r="BE289" s="239">
        <f t="shared" ca="1" si="91"/>
        <v>0</v>
      </c>
      <c r="BG289" s="239">
        <f t="shared" ca="1" si="92"/>
        <v>0</v>
      </c>
      <c r="BI289" s="222"/>
      <c r="BJ289" s="137">
        <v>0</v>
      </c>
      <c r="BK289" s="137">
        <v>0</v>
      </c>
      <c r="BL289" s="137">
        <f t="shared" ca="1" si="93"/>
        <v>1</v>
      </c>
      <c r="BM289" s="137">
        <f t="shared" ca="1" si="94"/>
        <v>1</v>
      </c>
      <c r="BN289" s="137">
        <f ca="1">(A289&gt;=N_LFP_Startdatum)*IF('  B  '!F$110=1,NOT(OR(A289&gt;S$221,A289&gt;S$231,A289&gt;S$241)),IF(BB289&gt;BC289,0,1))</f>
        <v>1</v>
      </c>
      <c r="BO289" s="137">
        <f t="shared" ca="1" si="95"/>
        <v>1</v>
      </c>
      <c r="BP289" s="137">
        <v>0</v>
      </c>
      <c r="BQ289" s="137">
        <f t="shared" ca="1" si="96"/>
        <v>1</v>
      </c>
      <c r="BR289" s="653">
        <v>0</v>
      </c>
      <c r="BS289" s="224">
        <f ca="1">(A289&gt;=N_LFP_Startdatum)*IF('  B  '!F$110=1,NOT(OR(A289&gt;S$221,A289&gt;S$231,A289&gt;S$241)),IF(BB289&gt;BC289,0,1))</f>
        <v>1</v>
      </c>
      <c r="BU289" s="562">
        <f t="shared" ca="1" si="97"/>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8"/>
        <v>0</v>
      </c>
      <c r="CA289" s="156">
        <f t="shared" ca="1" si="99"/>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0"/>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1"/>
        <v>0</v>
      </c>
      <c r="CL289" s="270">
        <f t="shared" ca="1" si="102"/>
        <v>0</v>
      </c>
      <c r="CM289" s="265">
        <f t="shared" ca="1" si="103"/>
        <v>0</v>
      </c>
      <c r="CO289" s="222"/>
      <c r="CP289" s="137">
        <v>0</v>
      </c>
      <c r="CQ289" s="137">
        <v>0</v>
      </c>
      <c r="CR289" s="137">
        <v>0</v>
      </c>
      <c r="CS289" s="137">
        <f t="shared" ca="1" si="104"/>
        <v>0</v>
      </c>
      <c r="CT289" s="137">
        <f t="shared" ca="1" si="105"/>
        <v>0</v>
      </c>
      <c r="CU289" s="137">
        <f t="shared" ca="1" si="106"/>
        <v>0</v>
      </c>
      <c r="CV289" s="137">
        <v>0</v>
      </c>
      <c r="CW289" s="137">
        <f t="shared" ca="1" si="107"/>
        <v>0</v>
      </c>
      <c r="CX289" s="137">
        <v>0</v>
      </c>
      <c r="CY289" s="224">
        <f t="shared" ca="1" si="108"/>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09"/>
        <v>0</v>
      </c>
      <c r="DF289" s="279">
        <f t="shared" ca="1" si="110"/>
        <v>0</v>
      </c>
      <c r="DG289" s="280">
        <f t="shared" ca="1" si="111"/>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4"/>
        <v>0</v>
      </c>
      <c r="DN289" s="279">
        <f t="shared" ca="1" si="115"/>
        <v>0</v>
      </c>
      <c r="DO289" s="279">
        <f t="shared" ca="1" si="116"/>
        <v>0</v>
      </c>
    </row>
    <row r="290" spans="1:119" x14ac:dyDescent="0.25">
      <c r="A290" s="153">
        <f t="shared" si="112"/>
        <v>45378</v>
      </c>
      <c r="B290" s="154"/>
      <c r="C290" s="154"/>
      <c r="D290" s="154"/>
      <c r="E290" s="875" t="str">
        <f t="shared" ca="1" si="56"/>
        <v/>
      </c>
      <c r="F290" s="876"/>
      <c r="G290" s="667">
        <f t="shared" ca="1" si="113"/>
        <v>0</v>
      </c>
      <c r="H290" s="667">
        <f t="shared" ca="1" si="57"/>
        <v>0</v>
      </c>
      <c r="I290" s="667">
        <f t="shared" ca="1" si="58"/>
        <v>0</v>
      </c>
      <c r="P290" s="151">
        <f t="shared" si="59"/>
        <v>125</v>
      </c>
      <c r="R290" s="55">
        <f t="shared" si="60"/>
        <v>0</v>
      </c>
      <c r="S290" s="55">
        <f t="shared" si="61"/>
        <v>1</v>
      </c>
      <c r="U290" s="226">
        <f t="shared" si="62"/>
        <v>0</v>
      </c>
      <c r="V290" s="137">
        <f t="shared" ca="1" si="63"/>
        <v>0</v>
      </c>
      <c r="W290" s="137">
        <f t="shared" si="64"/>
        <v>0</v>
      </c>
      <c r="X290" s="137">
        <f t="shared" si="65"/>
        <v>0</v>
      </c>
      <c r="Y290" s="137">
        <f t="shared" ca="1" si="66"/>
        <v>0</v>
      </c>
      <c r="Z290" s="137">
        <f t="shared" ca="1" si="67"/>
        <v>0</v>
      </c>
      <c r="AA290" s="137">
        <f t="shared" ca="1" si="68"/>
        <v>0</v>
      </c>
      <c r="AB290" s="137">
        <f t="shared" ca="1" si="69"/>
        <v>0</v>
      </c>
      <c r="AC290" s="137">
        <f t="shared" ca="1" si="70"/>
        <v>0</v>
      </c>
      <c r="AD290" s="137">
        <f t="shared" ca="1" si="71"/>
        <v>0</v>
      </c>
      <c r="AE290" s="223">
        <f t="shared" ca="1" si="72"/>
        <v>0</v>
      </c>
      <c r="AF290" s="229" t="str">
        <f t="shared" ca="1" si="73"/>
        <v/>
      </c>
      <c r="AH290" s="235">
        <f t="shared" si="74"/>
        <v>45378</v>
      </c>
      <c r="AI290" s="137">
        <f t="shared" ca="1" si="75"/>
        <v>0</v>
      </c>
      <c r="AJ290" s="137">
        <f t="shared" si="76"/>
        <v>0</v>
      </c>
      <c r="AK290" s="137">
        <f t="shared" ca="1" si="77"/>
        <v>0</v>
      </c>
      <c r="AL290" s="137">
        <f t="shared" ca="1" si="78"/>
        <v>0</v>
      </c>
      <c r="AM290" s="137">
        <f t="shared" si="79"/>
        <v>0</v>
      </c>
      <c r="AN290" s="137">
        <f t="shared" ca="1" si="80"/>
        <v>0</v>
      </c>
      <c r="AO290" s="137">
        <f t="shared" ca="1" si="81"/>
        <v>0</v>
      </c>
      <c r="AP290" s="137">
        <f t="shared" ca="1" si="82"/>
        <v>0</v>
      </c>
      <c r="AQ290" s="137">
        <f t="shared" si="83"/>
        <v>0</v>
      </c>
      <c r="AR290" s="236">
        <f t="shared" ca="1" si="84"/>
        <v>0</v>
      </c>
      <c r="AT290" s="241">
        <f t="shared" ca="1" si="85"/>
        <v>28</v>
      </c>
      <c r="AV290" s="222">
        <f t="shared" ca="1" si="86"/>
        <v>0</v>
      </c>
      <c r="AW290" s="247">
        <f t="shared" si="87"/>
        <v>91</v>
      </c>
      <c r="AY290" s="239">
        <f ca="1">(AE290=5)*('  B  '!F$110=1)*OR(AND(AND(A290&gt;=S$220,A290&gt;=I$214),AND(A290&lt;=S$221,A290&lt;=I$215)),AND(AND(A290&gt;=S$230,A290&gt;=I$224),AND(A290&lt;=S$231,A290&lt;=I$225)),AND(AND(A290&gt;=S$240,A290&gt;=I$234),AND(A290&lt;=S$241,A290&lt;=I$235)))</f>
        <v>0</v>
      </c>
      <c r="BA290" s="222">
        <f t="shared" ca="1" si="88"/>
        <v>0</v>
      </c>
      <c r="BB290" s="55">
        <f t="shared" ca="1" si="89"/>
        <v>0</v>
      </c>
      <c r="BC290" s="247">
        <f t="shared" si="90"/>
        <v>184</v>
      </c>
      <c r="BE290" s="239">
        <f t="shared" ca="1" si="91"/>
        <v>0</v>
      </c>
      <c r="BG290" s="239">
        <f t="shared" ca="1" si="92"/>
        <v>0</v>
      </c>
      <c r="BI290" s="222"/>
      <c r="BJ290" s="137">
        <v>0</v>
      </c>
      <c r="BK290" s="137">
        <v>0</v>
      </c>
      <c r="BL290" s="137">
        <f t="shared" ca="1" si="93"/>
        <v>1</v>
      </c>
      <c r="BM290" s="137">
        <f t="shared" ca="1" si="94"/>
        <v>1</v>
      </c>
      <c r="BN290" s="137">
        <f ca="1">(A290&gt;=N_LFP_Startdatum)*IF('  B  '!F$110=1,NOT(OR(A290&gt;S$221,A290&gt;S$231,A290&gt;S$241)),IF(BB290&gt;BC290,0,1))</f>
        <v>1</v>
      </c>
      <c r="BO290" s="137">
        <f t="shared" ca="1" si="95"/>
        <v>1</v>
      </c>
      <c r="BP290" s="137">
        <v>0</v>
      </c>
      <c r="BQ290" s="137">
        <f t="shared" ca="1" si="96"/>
        <v>1</v>
      </c>
      <c r="BR290" s="653">
        <v>0</v>
      </c>
      <c r="BS290" s="224">
        <f ca="1">(A290&gt;=N_LFP_Startdatum)*IF('  B  '!F$110=1,NOT(OR(A290&gt;S$221,A290&gt;S$231,A290&gt;S$241)),IF(BB290&gt;BC290,0,1))</f>
        <v>1</v>
      </c>
      <c r="BU290" s="562">
        <f t="shared" ca="1" si="97"/>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8"/>
        <v>0</v>
      </c>
      <c r="CA290" s="156">
        <f t="shared" ca="1" si="99"/>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0"/>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1"/>
        <v>0</v>
      </c>
      <c r="CL290" s="270">
        <f t="shared" ca="1" si="102"/>
        <v>0</v>
      </c>
      <c r="CM290" s="265">
        <f t="shared" ca="1" si="103"/>
        <v>0</v>
      </c>
      <c r="CO290" s="222"/>
      <c r="CP290" s="137">
        <v>0</v>
      </c>
      <c r="CQ290" s="137">
        <v>0</v>
      </c>
      <c r="CR290" s="137">
        <v>0</v>
      </c>
      <c r="CS290" s="137">
        <f t="shared" ca="1" si="104"/>
        <v>0</v>
      </c>
      <c r="CT290" s="137">
        <f t="shared" ca="1" si="105"/>
        <v>0</v>
      </c>
      <c r="CU290" s="137">
        <f t="shared" ca="1" si="106"/>
        <v>0</v>
      </c>
      <c r="CV290" s="137">
        <v>0</v>
      </c>
      <c r="CW290" s="137">
        <f t="shared" ca="1" si="107"/>
        <v>0</v>
      </c>
      <c r="CX290" s="137">
        <v>0</v>
      </c>
      <c r="CY290" s="224">
        <f t="shared" ca="1" si="108"/>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09"/>
        <v>0</v>
      </c>
      <c r="DF290" s="279">
        <f t="shared" ca="1" si="110"/>
        <v>0</v>
      </c>
      <c r="DG290" s="280">
        <f t="shared" ca="1" si="111"/>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4"/>
        <v>0</v>
      </c>
      <c r="DN290" s="279">
        <f t="shared" ca="1" si="115"/>
        <v>0</v>
      </c>
      <c r="DO290" s="279">
        <f t="shared" ca="1" si="116"/>
        <v>0</v>
      </c>
    </row>
    <row r="291" spans="1:119" x14ac:dyDescent="0.25">
      <c r="A291" s="153">
        <f t="shared" si="112"/>
        <v>45379</v>
      </c>
      <c r="B291" s="154"/>
      <c r="C291" s="154"/>
      <c r="D291" s="154"/>
      <c r="E291" s="875" t="str">
        <f t="shared" ca="1" si="56"/>
        <v/>
      </c>
      <c r="F291" s="876"/>
      <c r="G291" s="667">
        <f t="shared" ca="1" si="113"/>
        <v>0</v>
      </c>
      <c r="H291" s="667">
        <f t="shared" ca="1" si="57"/>
        <v>0</v>
      </c>
      <c r="I291" s="667">
        <f t="shared" ca="1" si="58"/>
        <v>0</v>
      </c>
      <c r="P291" s="151">
        <f t="shared" si="59"/>
        <v>125</v>
      </c>
      <c r="R291" s="55">
        <f t="shared" si="60"/>
        <v>0</v>
      </c>
      <c r="S291" s="55">
        <f t="shared" si="61"/>
        <v>1</v>
      </c>
      <c r="U291" s="226">
        <f t="shared" si="62"/>
        <v>0</v>
      </c>
      <c r="V291" s="137">
        <f t="shared" ca="1" si="63"/>
        <v>0</v>
      </c>
      <c r="W291" s="137">
        <f t="shared" si="64"/>
        <v>0</v>
      </c>
      <c r="X291" s="137">
        <f t="shared" si="65"/>
        <v>0</v>
      </c>
      <c r="Y291" s="137">
        <f t="shared" ca="1" si="66"/>
        <v>0</v>
      </c>
      <c r="Z291" s="137">
        <f t="shared" ca="1" si="67"/>
        <v>0</v>
      </c>
      <c r="AA291" s="137">
        <f t="shared" ca="1" si="68"/>
        <v>0</v>
      </c>
      <c r="AB291" s="137">
        <f t="shared" ca="1" si="69"/>
        <v>0</v>
      </c>
      <c r="AC291" s="137">
        <f t="shared" ca="1" si="70"/>
        <v>0</v>
      </c>
      <c r="AD291" s="137">
        <f t="shared" ca="1" si="71"/>
        <v>0</v>
      </c>
      <c r="AE291" s="223">
        <f t="shared" ca="1" si="72"/>
        <v>0</v>
      </c>
      <c r="AF291" s="229" t="str">
        <f t="shared" ca="1" si="73"/>
        <v/>
      </c>
      <c r="AH291" s="235">
        <f t="shared" si="74"/>
        <v>45379</v>
      </c>
      <c r="AI291" s="137">
        <f t="shared" ca="1" si="75"/>
        <v>0</v>
      </c>
      <c r="AJ291" s="137">
        <f t="shared" si="76"/>
        <v>0</v>
      </c>
      <c r="AK291" s="137">
        <f t="shared" ca="1" si="77"/>
        <v>0</v>
      </c>
      <c r="AL291" s="137">
        <f t="shared" ca="1" si="78"/>
        <v>0</v>
      </c>
      <c r="AM291" s="137">
        <f t="shared" si="79"/>
        <v>0</v>
      </c>
      <c r="AN291" s="137">
        <f t="shared" ca="1" si="80"/>
        <v>0</v>
      </c>
      <c r="AO291" s="137">
        <f t="shared" ca="1" si="81"/>
        <v>0</v>
      </c>
      <c r="AP291" s="137">
        <f t="shared" ca="1" si="82"/>
        <v>0</v>
      </c>
      <c r="AQ291" s="137">
        <f t="shared" si="83"/>
        <v>0</v>
      </c>
      <c r="AR291" s="236">
        <f t="shared" ca="1" si="84"/>
        <v>0</v>
      </c>
      <c r="AT291" s="241">
        <f t="shared" ca="1" si="85"/>
        <v>28</v>
      </c>
      <c r="AV291" s="222">
        <f t="shared" ca="1" si="86"/>
        <v>0</v>
      </c>
      <c r="AW291" s="247">
        <f t="shared" si="87"/>
        <v>91</v>
      </c>
      <c r="AY291" s="239">
        <f ca="1">(AE291=5)*('  B  '!F$110=1)*OR(AND(AND(A291&gt;=S$220,A291&gt;=I$214),AND(A291&lt;=S$221,A291&lt;=I$215)),AND(AND(A291&gt;=S$230,A291&gt;=I$224),AND(A291&lt;=S$231,A291&lt;=I$225)),AND(AND(A291&gt;=S$240,A291&gt;=I$234),AND(A291&lt;=S$241,A291&lt;=I$235)))</f>
        <v>0</v>
      </c>
      <c r="BA291" s="222">
        <f t="shared" ca="1" si="88"/>
        <v>0</v>
      </c>
      <c r="BB291" s="55">
        <f t="shared" ca="1" si="89"/>
        <v>0</v>
      </c>
      <c r="BC291" s="247">
        <f t="shared" si="90"/>
        <v>184</v>
      </c>
      <c r="BE291" s="239">
        <f t="shared" ca="1" si="91"/>
        <v>0</v>
      </c>
      <c r="BG291" s="239">
        <f t="shared" ca="1" si="92"/>
        <v>0</v>
      </c>
      <c r="BI291" s="222"/>
      <c r="BJ291" s="137">
        <v>0</v>
      </c>
      <c r="BK291" s="137">
        <v>0</v>
      </c>
      <c r="BL291" s="137">
        <f t="shared" ca="1" si="93"/>
        <v>1</v>
      </c>
      <c r="BM291" s="137">
        <f t="shared" ca="1" si="94"/>
        <v>1</v>
      </c>
      <c r="BN291" s="137">
        <f ca="1">(A291&gt;=N_LFP_Startdatum)*IF('  B  '!F$110=1,NOT(OR(A291&gt;S$221,A291&gt;S$231,A291&gt;S$241)),IF(BB291&gt;BC291,0,1))</f>
        <v>1</v>
      </c>
      <c r="BO291" s="137">
        <f t="shared" ca="1" si="95"/>
        <v>1</v>
      </c>
      <c r="BP291" s="137">
        <v>0</v>
      </c>
      <c r="BQ291" s="137">
        <f t="shared" ca="1" si="96"/>
        <v>1</v>
      </c>
      <c r="BR291" s="653">
        <v>0</v>
      </c>
      <c r="BS291" s="224">
        <f ca="1">(A291&gt;=N_LFP_Startdatum)*IF('  B  '!F$110=1,NOT(OR(A291&gt;S$221,A291&gt;S$231,A291&gt;S$241)),IF(BB291&gt;BC291,0,1))</f>
        <v>1</v>
      </c>
      <c r="BU291" s="562">
        <f t="shared" ca="1" si="97"/>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8"/>
        <v>0</v>
      </c>
      <c r="CA291" s="156">
        <f t="shared" ca="1" si="99"/>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0"/>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1"/>
        <v>0</v>
      </c>
      <c r="CL291" s="270">
        <f t="shared" ca="1" si="102"/>
        <v>0</v>
      </c>
      <c r="CM291" s="265">
        <f t="shared" ca="1" si="103"/>
        <v>0</v>
      </c>
      <c r="CO291" s="222"/>
      <c r="CP291" s="137">
        <v>0</v>
      </c>
      <c r="CQ291" s="137">
        <v>0</v>
      </c>
      <c r="CR291" s="137">
        <v>0</v>
      </c>
      <c r="CS291" s="137">
        <f t="shared" ca="1" si="104"/>
        <v>0</v>
      </c>
      <c r="CT291" s="137">
        <f t="shared" ca="1" si="105"/>
        <v>0</v>
      </c>
      <c r="CU291" s="137">
        <f t="shared" ca="1" si="106"/>
        <v>0</v>
      </c>
      <c r="CV291" s="137">
        <v>0</v>
      </c>
      <c r="CW291" s="137">
        <f t="shared" ca="1" si="107"/>
        <v>0</v>
      </c>
      <c r="CX291" s="137">
        <v>0</v>
      </c>
      <c r="CY291" s="224">
        <f t="shared" ca="1" si="108"/>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09"/>
        <v>0</v>
      </c>
      <c r="DF291" s="279">
        <f t="shared" ca="1" si="110"/>
        <v>0</v>
      </c>
      <c r="DG291" s="280">
        <f t="shared" ca="1" si="111"/>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4"/>
        <v>0</v>
      </c>
      <c r="DN291" s="279">
        <f t="shared" ca="1" si="115"/>
        <v>0</v>
      </c>
      <c r="DO291" s="279">
        <f t="shared" ca="1" si="116"/>
        <v>0</v>
      </c>
    </row>
    <row r="292" spans="1:119" x14ac:dyDescent="0.25">
      <c r="A292" s="153">
        <f t="shared" si="112"/>
        <v>45380</v>
      </c>
      <c r="B292" s="154"/>
      <c r="C292" s="154"/>
      <c r="D292" s="154"/>
      <c r="E292" s="875" t="str">
        <f t="shared" ca="1" si="56"/>
        <v/>
      </c>
      <c r="F292" s="876"/>
      <c r="G292" s="667">
        <f t="shared" ca="1" si="113"/>
        <v>0</v>
      </c>
      <c r="H292" s="667">
        <f t="shared" ca="1" si="57"/>
        <v>0</v>
      </c>
      <c r="I292" s="667">
        <f t="shared" ca="1" si="58"/>
        <v>0</v>
      </c>
      <c r="P292" s="151">
        <f t="shared" si="59"/>
        <v>125</v>
      </c>
      <c r="R292" s="55">
        <f t="shared" si="60"/>
        <v>0</v>
      </c>
      <c r="S292" s="55">
        <f t="shared" si="61"/>
        <v>1</v>
      </c>
      <c r="U292" s="226">
        <f t="shared" si="62"/>
        <v>0</v>
      </c>
      <c r="V292" s="137">
        <f t="shared" ca="1" si="63"/>
        <v>0</v>
      </c>
      <c r="W292" s="137">
        <f t="shared" si="64"/>
        <v>0</v>
      </c>
      <c r="X292" s="137">
        <f t="shared" si="65"/>
        <v>0</v>
      </c>
      <c r="Y292" s="137">
        <f t="shared" ca="1" si="66"/>
        <v>0</v>
      </c>
      <c r="Z292" s="137">
        <f t="shared" ca="1" si="67"/>
        <v>0</v>
      </c>
      <c r="AA292" s="137">
        <f t="shared" ca="1" si="68"/>
        <v>0</v>
      </c>
      <c r="AB292" s="137">
        <f t="shared" ca="1" si="69"/>
        <v>0</v>
      </c>
      <c r="AC292" s="137">
        <f t="shared" ca="1" si="70"/>
        <v>0</v>
      </c>
      <c r="AD292" s="137">
        <f t="shared" ca="1" si="71"/>
        <v>0</v>
      </c>
      <c r="AE292" s="223">
        <f t="shared" ca="1" si="72"/>
        <v>0</v>
      </c>
      <c r="AF292" s="229" t="str">
        <f t="shared" ca="1" si="73"/>
        <v/>
      </c>
      <c r="AH292" s="235">
        <f t="shared" si="74"/>
        <v>45380</v>
      </c>
      <c r="AI292" s="137">
        <f t="shared" ca="1" si="75"/>
        <v>0</v>
      </c>
      <c r="AJ292" s="137">
        <f t="shared" si="76"/>
        <v>0</v>
      </c>
      <c r="AK292" s="137">
        <f t="shared" ca="1" si="77"/>
        <v>0</v>
      </c>
      <c r="AL292" s="137">
        <f t="shared" ca="1" si="78"/>
        <v>0</v>
      </c>
      <c r="AM292" s="137">
        <f t="shared" si="79"/>
        <v>0</v>
      </c>
      <c r="AN292" s="137">
        <f t="shared" ca="1" si="80"/>
        <v>0</v>
      </c>
      <c r="AO292" s="137">
        <f t="shared" ca="1" si="81"/>
        <v>0</v>
      </c>
      <c r="AP292" s="137">
        <f t="shared" ca="1" si="82"/>
        <v>0</v>
      </c>
      <c r="AQ292" s="137">
        <f t="shared" si="83"/>
        <v>0</v>
      </c>
      <c r="AR292" s="236">
        <f t="shared" ca="1" si="84"/>
        <v>0</v>
      </c>
      <c r="AT292" s="241">
        <f t="shared" ca="1" si="85"/>
        <v>28</v>
      </c>
      <c r="AV292" s="222">
        <f t="shared" ca="1" si="86"/>
        <v>0</v>
      </c>
      <c r="AW292" s="247">
        <f t="shared" si="87"/>
        <v>91</v>
      </c>
      <c r="AY292" s="239">
        <f ca="1">(AE292=5)*('  B  '!F$110=1)*OR(AND(AND(A292&gt;=S$220,A292&gt;=I$214),AND(A292&lt;=S$221,A292&lt;=I$215)),AND(AND(A292&gt;=S$230,A292&gt;=I$224),AND(A292&lt;=S$231,A292&lt;=I$225)),AND(AND(A292&gt;=S$240,A292&gt;=I$234),AND(A292&lt;=S$241,A292&lt;=I$235)))</f>
        <v>0</v>
      </c>
      <c r="BA292" s="222">
        <f t="shared" ca="1" si="88"/>
        <v>0</v>
      </c>
      <c r="BB292" s="55">
        <f t="shared" ca="1" si="89"/>
        <v>0</v>
      </c>
      <c r="BC292" s="247">
        <f t="shared" si="90"/>
        <v>184</v>
      </c>
      <c r="BE292" s="239">
        <f t="shared" ca="1" si="91"/>
        <v>0</v>
      </c>
      <c r="BG292" s="239">
        <f t="shared" ca="1" si="92"/>
        <v>0</v>
      </c>
      <c r="BI292" s="222"/>
      <c r="BJ292" s="137">
        <v>0</v>
      </c>
      <c r="BK292" s="137">
        <v>0</v>
      </c>
      <c r="BL292" s="137">
        <f t="shared" ca="1" si="93"/>
        <v>1</v>
      </c>
      <c r="BM292" s="137">
        <f t="shared" ca="1" si="94"/>
        <v>1</v>
      </c>
      <c r="BN292" s="137">
        <f ca="1">(A292&gt;=N_LFP_Startdatum)*IF('  B  '!F$110=1,NOT(OR(A292&gt;S$221,A292&gt;S$231,A292&gt;S$241)),IF(BB292&gt;BC292,0,1))</f>
        <v>1</v>
      </c>
      <c r="BO292" s="137">
        <f t="shared" ca="1" si="95"/>
        <v>1</v>
      </c>
      <c r="BP292" s="137">
        <v>0</v>
      </c>
      <c r="BQ292" s="137">
        <f t="shared" ca="1" si="96"/>
        <v>1</v>
      </c>
      <c r="BR292" s="653">
        <v>0</v>
      </c>
      <c r="BS292" s="224">
        <f ca="1">(A292&gt;=N_LFP_Startdatum)*IF('  B  '!F$110=1,NOT(OR(A292&gt;S$221,A292&gt;S$231,A292&gt;S$241)),IF(BB292&gt;BC292,0,1))</f>
        <v>1</v>
      </c>
      <c r="BU292" s="562">
        <f t="shared" ca="1" si="97"/>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8"/>
        <v>0</v>
      </c>
      <c r="CA292" s="156">
        <f t="shared" ca="1" si="99"/>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0"/>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1"/>
        <v>0</v>
      </c>
      <c r="CL292" s="270">
        <f t="shared" ca="1" si="102"/>
        <v>0</v>
      </c>
      <c r="CM292" s="265">
        <f t="shared" ca="1" si="103"/>
        <v>0</v>
      </c>
      <c r="CO292" s="222"/>
      <c r="CP292" s="137">
        <v>0</v>
      </c>
      <c r="CQ292" s="137">
        <v>0</v>
      </c>
      <c r="CR292" s="137">
        <v>0</v>
      </c>
      <c r="CS292" s="137">
        <f t="shared" ca="1" si="104"/>
        <v>0</v>
      </c>
      <c r="CT292" s="137">
        <f t="shared" ca="1" si="105"/>
        <v>0</v>
      </c>
      <c r="CU292" s="137">
        <f t="shared" ca="1" si="106"/>
        <v>0</v>
      </c>
      <c r="CV292" s="137">
        <v>0</v>
      </c>
      <c r="CW292" s="137">
        <f t="shared" ca="1" si="107"/>
        <v>0</v>
      </c>
      <c r="CX292" s="137">
        <v>0</v>
      </c>
      <c r="CY292" s="224">
        <f t="shared" ca="1" si="108"/>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09"/>
        <v>0</v>
      </c>
      <c r="DF292" s="279">
        <f t="shared" ca="1" si="110"/>
        <v>0</v>
      </c>
      <c r="DG292" s="280">
        <f t="shared" ca="1" si="111"/>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4"/>
        <v>0</v>
      </c>
      <c r="DN292" s="279">
        <f t="shared" ca="1" si="115"/>
        <v>0</v>
      </c>
      <c r="DO292" s="279">
        <f t="shared" ca="1" si="116"/>
        <v>0</v>
      </c>
    </row>
    <row r="293" spans="1:119" x14ac:dyDescent="0.25">
      <c r="A293" s="153">
        <f t="shared" si="112"/>
        <v>45381</v>
      </c>
      <c r="B293" s="154"/>
      <c r="C293" s="154"/>
      <c r="D293" s="154"/>
      <c r="E293" s="875" t="str">
        <f t="shared" ca="1" si="56"/>
        <v/>
      </c>
      <c r="F293" s="876"/>
      <c r="G293" s="667">
        <f t="shared" ca="1" si="113"/>
        <v>0</v>
      </c>
      <c r="H293" s="667">
        <f t="shared" ca="1" si="57"/>
        <v>0</v>
      </c>
      <c r="I293" s="667">
        <f t="shared" ca="1" si="58"/>
        <v>0</v>
      </c>
      <c r="P293" s="151">
        <f t="shared" si="59"/>
        <v>125</v>
      </c>
      <c r="R293" s="55">
        <f t="shared" si="60"/>
        <v>0</v>
      </c>
      <c r="S293" s="55">
        <f t="shared" si="61"/>
        <v>1</v>
      </c>
      <c r="U293" s="226">
        <f t="shared" si="62"/>
        <v>0</v>
      </c>
      <c r="V293" s="137">
        <f t="shared" ca="1" si="63"/>
        <v>0</v>
      </c>
      <c r="W293" s="137">
        <f t="shared" si="64"/>
        <v>0</v>
      </c>
      <c r="X293" s="137">
        <f t="shared" si="65"/>
        <v>0</v>
      </c>
      <c r="Y293" s="137">
        <f t="shared" ca="1" si="66"/>
        <v>0</v>
      </c>
      <c r="Z293" s="137">
        <f t="shared" ca="1" si="67"/>
        <v>0</v>
      </c>
      <c r="AA293" s="137">
        <f t="shared" ca="1" si="68"/>
        <v>0</v>
      </c>
      <c r="AB293" s="137">
        <f t="shared" ca="1" si="69"/>
        <v>0</v>
      </c>
      <c r="AC293" s="137">
        <f t="shared" ca="1" si="70"/>
        <v>0</v>
      </c>
      <c r="AD293" s="137">
        <f t="shared" ca="1" si="71"/>
        <v>0</v>
      </c>
      <c r="AE293" s="223">
        <f t="shared" ca="1" si="72"/>
        <v>0</v>
      </c>
      <c r="AF293" s="229" t="str">
        <f t="shared" ca="1" si="73"/>
        <v/>
      </c>
      <c r="AH293" s="235">
        <f t="shared" si="74"/>
        <v>45381</v>
      </c>
      <c r="AI293" s="137">
        <f t="shared" ca="1" si="75"/>
        <v>0</v>
      </c>
      <c r="AJ293" s="137">
        <f t="shared" si="76"/>
        <v>0</v>
      </c>
      <c r="AK293" s="137">
        <f t="shared" ca="1" si="77"/>
        <v>0</v>
      </c>
      <c r="AL293" s="137">
        <f t="shared" ca="1" si="78"/>
        <v>0</v>
      </c>
      <c r="AM293" s="137">
        <f t="shared" si="79"/>
        <v>0</v>
      </c>
      <c r="AN293" s="137">
        <f t="shared" ca="1" si="80"/>
        <v>0</v>
      </c>
      <c r="AO293" s="137">
        <f t="shared" ca="1" si="81"/>
        <v>0</v>
      </c>
      <c r="AP293" s="137">
        <f t="shared" ca="1" si="82"/>
        <v>0</v>
      </c>
      <c r="AQ293" s="137">
        <f t="shared" si="83"/>
        <v>0</v>
      </c>
      <c r="AR293" s="236">
        <f t="shared" ca="1" si="84"/>
        <v>0</v>
      </c>
      <c r="AT293" s="241">
        <f t="shared" ca="1" si="85"/>
        <v>28</v>
      </c>
      <c r="AV293" s="222">
        <f t="shared" ca="1" si="86"/>
        <v>0</v>
      </c>
      <c r="AW293" s="247">
        <f t="shared" si="87"/>
        <v>91</v>
      </c>
      <c r="AY293" s="239">
        <f ca="1">(AE293=5)*('  B  '!F$110=1)*OR(AND(AND(A293&gt;=S$220,A293&gt;=I$214),AND(A293&lt;=S$221,A293&lt;=I$215)),AND(AND(A293&gt;=S$230,A293&gt;=I$224),AND(A293&lt;=S$231,A293&lt;=I$225)),AND(AND(A293&gt;=S$240,A293&gt;=I$234),AND(A293&lt;=S$241,A293&lt;=I$235)))</f>
        <v>0</v>
      </c>
      <c r="BA293" s="222">
        <f t="shared" ca="1" si="88"/>
        <v>0</v>
      </c>
      <c r="BB293" s="55">
        <f t="shared" ca="1" si="89"/>
        <v>0</v>
      </c>
      <c r="BC293" s="247">
        <f t="shared" si="90"/>
        <v>184</v>
      </c>
      <c r="BE293" s="239">
        <f t="shared" ca="1" si="91"/>
        <v>0</v>
      </c>
      <c r="BG293" s="239">
        <f t="shared" ca="1" si="92"/>
        <v>0</v>
      </c>
      <c r="BI293" s="222"/>
      <c r="BJ293" s="137">
        <v>0</v>
      </c>
      <c r="BK293" s="137">
        <v>0</v>
      </c>
      <c r="BL293" s="137">
        <f t="shared" ca="1" si="93"/>
        <v>1</v>
      </c>
      <c r="BM293" s="137">
        <f t="shared" ca="1" si="94"/>
        <v>1</v>
      </c>
      <c r="BN293" s="137">
        <f ca="1">(A293&gt;=N_LFP_Startdatum)*IF('  B  '!F$110=1,NOT(OR(A293&gt;S$221,A293&gt;S$231,A293&gt;S$241)),IF(BB293&gt;BC293,0,1))</f>
        <v>1</v>
      </c>
      <c r="BO293" s="137">
        <f t="shared" ca="1" si="95"/>
        <v>1</v>
      </c>
      <c r="BP293" s="137">
        <v>0</v>
      </c>
      <c r="BQ293" s="137">
        <f t="shared" ca="1" si="96"/>
        <v>1</v>
      </c>
      <c r="BR293" s="653">
        <v>0</v>
      </c>
      <c r="BS293" s="224">
        <f ca="1">(A293&gt;=N_LFP_Startdatum)*IF('  B  '!F$110=1,NOT(OR(A293&gt;S$221,A293&gt;S$231,A293&gt;S$241)),IF(BB293&gt;BC293,0,1))</f>
        <v>1</v>
      </c>
      <c r="BU293" s="562">
        <f t="shared" ca="1" si="97"/>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8"/>
        <v>0</v>
      </c>
      <c r="CA293" s="156">
        <f t="shared" ca="1" si="99"/>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0"/>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1"/>
        <v>0</v>
      </c>
      <c r="CL293" s="270">
        <f t="shared" ca="1" si="102"/>
        <v>0</v>
      </c>
      <c r="CM293" s="265">
        <f t="shared" ca="1" si="103"/>
        <v>0</v>
      </c>
      <c r="CO293" s="222"/>
      <c r="CP293" s="137">
        <v>0</v>
      </c>
      <c r="CQ293" s="137">
        <v>0</v>
      </c>
      <c r="CR293" s="137">
        <v>0</v>
      </c>
      <c r="CS293" s="137">
        <f t="shared" ca="1" si="104"/>
        <v>0</v>
      </c>
      <c r="CT293" s="137">
        <f t="shared" ca="1" si="105"/>
        <v>0</v>
      </c>
      <c r="CU293" s="137">
        <f t="shared" ca="1" si="106"/>
        <v>0</v>
      </c>
      <c r="CV293" s="137">
        <v>0</v>
      </c>
      <c r="CW293" s="137">
        <f t="shared" ca="1" si="107"/>
        <v>0</v>
      </c>
      <c r="CX293" s="137">
        <v>0</v>
      </c>
      <c r="CY293" s="224">
        <f t="shared" ca="1" si="108"/>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09"/>
        <v>0</v>
      </c>
      <c r="DF293" s="279">
        <f t="shared" ca="1" si="110"/>
        <v>0</v>
      </c>
      <c r="DG293" s="280">
        <f t="shared" ca="1" si="111"/>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4"/>
        <v>0</v>
      </c>
      <c r="DN293" s="279">
        <f t="shared" ca="1" si="115"/>
        <v>0</v>
      </c>
      <c r="DO293" s="279">
        <f t="shared" ca="1" si="116"/>
        <v>0</v>
      </c>
    </row>
    <row r="294" spans="1:119" x14ac:dyDescent="0.25">
      <c r="A294" s="153">
        <f t="shared" si="112"/>
        <v>45382</v>
      </c>
      <c r="B294" s="154"/>
      <c r="C294" s="154"/>
      <c r="D294" s="154"/>
      <c r="E294" s="875" t="str">
        <f t="shared" ca="1" si="56"/>
        <v/>
      </c>
      <c r="F294" s="876"/>
      <c r="G294" s="667">
        <f t="shared" ca="1" si="113"/>
        <v>0</v>
      </c>
      <c r="H294" s="667">
        <f t="shared" ca="1" si="57"/>
        <v>0</v>
      </c>
      <c r="I294" s="667">
        <f t="shared" ca="1" si="58"/>
        <v>0</v>
      </c>
      <c r="P294" s="151">
        <f t="shared" si="59"/>
        <v>125</v>
      </c>
      <c r="R294" s="55">
        <f t="shared" si="60"/>
        <v>0</v>
      </c>
      <c r="S294" s="55">
        <f t="shared" si="61"/>
        <v>1</v>
      </c>
      <c r="U294" s="227">
        <f t="shared" si="62"/>
        <v>0</v>
      </c>
      <c r="V294" s="225">
        <f t="shared" ca="1" si="63"/>
        <v>0</v>
      </c>
      <c r="W294" s="225">
        <f t="shared" si="64"/>
        <v>0</v>
      </c>
      <c r="X294" s="225">
        <f t="shared" si="65"/>
        <v>0</v>
      </c>
      <c r="Y294" s="225">
        <f t="shared" ca="1" si="66"/>
        <v>0</v>
      </c>
      <c r="Z294" s="225">
        <f t="shared" ca="1" si="67"/>
        <v>0</v>
      </c>
      <c r="AA294" s="225">
        <f t="shared" ca="1" si="68"/>
        <v>0</v>
      </c>
      <c r="AB294" s="225">
        <f t="shared" ca="1" si="69"/>
        <v>0</v>
      </c>
      <c r="AC294" s="225">
        <f t="shared" ca="1" si="70"/>
        <v>0</v>
      </c>
      <c r="AD294" s="225">
        <f t="shared" ca="1" si="71"/>
        <v>0</v>
      </c>
      <c r="AE294" s="228">
        <f t="shared" ca="1" si="72"/>
        <v>0</v>
      </c>
      <c r="AF294" s="229" t="str">
        <f t="shared" ca="1" si="73"/>
        <v/>
      </c>
      <c r="AH294" s="237">
        <f t="shared" si="74"/>
        <v>45382</v>
      </c>
      <c r="AI294" s="225">
        <f t="shared" ca="1" si="75"/>
        <v>0</v>
      </c>
      <c r="AJ294" s="225">
        <f t="shared" si="76"/>
        <v>0</v>
      </c>
      <c r="AK294" s="225">
        <f t="shared" ca="1" si="77"/>
        <v>0</v>
      </c>
      <c r="AL294" s="225">
        <f t="shared" ca="1" si="78"/>
        <v>0</v>
      </c>
      <c r="AM294" s="225">
        <f t="shared" si="79"/>
        <v>0</v>
      </c>
      <c r="AN294" s="137">
        <f t="shared" ca="1" si="80"/>
        <v>0</v>
      </c>
      <c r="AO294" s="225">
        <f t="shared" ca="1" si="81"/>
        <v>0</v>
      </c>
      <c r="AP294" s="225">
        <f t="shared" ca="1" si="82"/>
        <v>0</v>
      </c>
      <c r="AQ294" s="225">
        <f t="shared" si="83"/>
        <v>0</v>
      </c>
      <c r="AR294" s="238">
        <f t="shared" ca="1" si="84"/>
        <v>0</v>
      </c>
      <c r="AT294" s="242">
        <f t="shared" ca="1" si="85"/>
        <v>28</v>
      </c>
      <c r="AV294" s="215">
        <f t="shared" ca="1" si="86"/>
        <v>0</v>
      </c>
      <c r="AW294" s="248">
        <f t="shared" si="87"/>
        <v>91</v>
      </c>
      <c r="AY294" s="149">
        <f ca="1">(AE294=5)*('  B  '!F$110=1)*OR(AND(AND(A294&gt;=S$220,A294&gt;=I$214),AND(A294&lt;=S$221,A294&lt;=I$215)),AND(AND(A294&gt;=S$230,A294&gt;=I$224),AND(A294&lt;=S$231,A294&lt;=I$225)),AND(AND(A294&gt;=S$240,A294&gt;=I$234),AND(A294&lt;=S$241,A294&lt;=I$235)))</f>
        <v>0</v>
      </c>
      <c r="BA294" s="215">
        <f t="shared" ca="1" si="88"/>
        <v>0</v>
      </c>
      <c r="BB294" s="250">
        <f t="shared" ca="1" si="89"/>
        <v>0</v>
      </c>
      <c r="BC294" s="248">
        <f t="shared" si="90"/>
        <v>184</v>
      </c>
      <c r="BE294" s="149">
        <f t="shared" ca="1" si="91"/>
        <v>0</v>
      </c>
      <c r="BG294" s="149">
        <f t="shared" ca="1" si="92"/>
        <v>0</v>
      </c>
      <c r="BI294" s="215"/>
      <c r="BJ294" s="225">
        <v>0</v>
      </c>
      <c r="BK294" s="225">
        <v>0</v>
      </c>
      <c r="BL294" s="225">
        <f t="shared" ca="1" si="93"/>
        <v>1</v>
      </c>
      <c r="BM294" s="225">
        <f t="shared" ca="1" si="94"/>
        <v>1</v>
      </c>
      <c r="BN294" s="225">
        <f ca="1">(A294&gt;=N_LFP_Startdatum)*IF('  B  '!F$110=1,NOT(OR(A294&gt;S$221,A294&gt;S$231,A294&gt;S$241)),IF(BB294&gt;BC294,0,1))</f>
        <v>1</v>
      </c>
      <c r="BO294" s="225">
        <f t="shared" ca="1" si="95"/>
        <v>1</v>
      </c>
      <c r="BP294" s="225">
        <v>0</v>
      </c>
      <c r="BQ294" s="225">
        <f t="shared" ca="1" si="96"/>
        <v>1</v>
      </c>
      <c r="BR294" s="654">
        <v>0</v>
      </c>
      <c r="BS294" s="374">
        <f ca="1">(A294&gt;=N_LFP_Startdatum)*IF('  B  '!F$110=1,NOT(OR(A294&gt;S$221,A294&gt;S$231,A294&gt;S$241)),IF(BB294&gt;BC294,0,1))</f>
        <v>1</v>
      </c>
      <c r="BU294" s="563">
        <f t="shared" ca="1" si="97"/>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8"/>
        <v>0</v>
      </c>
      <c r="CA294" s="257">
        <f t="shared" ca="1" si="99"/>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0"/>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1"/>
        <v>0</v>
      </c>
      <c r="CL294" s="271">
        <f t="shared" ca="1" si="102"/>
        <v>0</v>
      </c>
      <c r="CM294" s="269">
        <f t="shared" ca="1" si="103"/>
        <v>0</v>
      </c>
      <c r="CO294" s="215"/>
      <c r="CP294" s="225">
        <v>0</v>
      </c>
      <c r="CQ294" s="225">
        <v>0</v>
      </c>
      <c r="CR294" s="225">
        <v>0</v>
      </c>
      <c r="CS294" s="225">
        <f t="shared" ca="1" si="104"/>
        <v>0</v>
      </c>
      <c r="CT294" s="225">
        <f t="shared" ca="1" si="105"/>
        <v>0</v>
      </c>
      <c r="CU294" s="225">
        <f t="shared" ca="1" si="106"/>
        <v>0</v>
      </c>
      <c r="CV294" s="225">
        <v>0</v>
      </c>
      <c r="CW294" s="225">
        <f t="shared" ca="1" si="107"/>
        <v>0</v>
      </c>
      <c r="CX294" s="225">
        <v>0</v>
      </c>
      <c r="CY294" s="374">
        <f t="shared" ca="1" si="108"/>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09"/>
        <v>0</v>
      </c>
      <c r="DF294" s="282">
        <f t="shared" ca="1" si="110"/>
        <v>0</v>
      </c>
      <c r="DG294" s="283">
        <f t="shared" ca="1" si="111"/>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4"/>
        <v>0</v>
      </c>
      <c r="DN294" s="279">
        <f t="shared" ca="1" si="115"/>
        <v>0</v>
      </c>
      <c r="DO294" s="279">
        <f t="shared" ca="1" si="116"/>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7">SUM(CH264:CH294)</f>
        <v>0</v>
      </c>
      <c r="CI295" s="522">
        <f t="shared" ca="1" si="117"/>
        <v>0</v>
      </c>
      <c r="CJ295" s="522">
        <f t="shared" ca="1" si="117"/>
        <v>0</v>
      </c>
      <c r="CK295" s="522">
        <f t="shared" ca="1" si="117"/>
        <v>0</v>
      </c>
      <c r="CL295" s="522">
        <f t="shared" ca="1" si="117"/>
        <v>0</v>
      </c>
      <c r="CM295" s="522">
        <f t="shared" ca="1" si="117"/>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8">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8"/>
        <v>Stand am Monatsbeginn</v>
      </c>
      <c r="B299" s="883">
        <f t="shared" ref="B299:E307" ca="1" si="119">INDIRECT(ADDRESS(ROW()+N_Offset_M,COLUMN()+(N_SpracheAuswahl)*26,,,"Text"))</f>
        <v>0</v>
      </c>
      <c r="C299" s="883">
        <f t="shared" ca="1" si="119"/>
        <v>0</v>
      </c>
      <c r="D299" s="883">
        <f t="shared" ca="1" si="119"/>
        <v>0</v>
      </c>
      <c r="E299" s="884">
        <f t="shared" ca="1" si="119"/>
        <v>0</v>
      </c>
      <c r="F299" s="566">
        <f ca="1">' 02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8"/>
        <v>Sollarbeitsstunden in diesem Monat</v>
      </c>
      <c r="B300" s="885">
        <f t="shared" ca="1" si="119"/>
        <v>0</v>
      </c>
      <c r="C300" s="885">
        <f t="shared" ca="1" si="119"/>
        <v>0</v>
      </c>
      <c r="D300" s="885">
        <f t="shared" ca="1" si="119"/>
        <v>0</v>
      </c>
      <c r="E300" s="886">
        <f t="shared" ca="1" si="119"/>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8"/>
        <v>geleistete Arbeitsstunden</v>
      </c>
      <c r="B301" s="885">
        <f t="shared" ca="1" si="119"/>
        <v>0</v>
      </c>
      <c r="C301" s="885">
        <f t="shared" ca="1" si="119"/>
        <v>0</v>
      </c>
      <c r="D301" s="885">
        <f t="shared" ca="1" si="119"/>
        <v>0</v>
      </c>
      <c r="E301" s="886">
        <f t="shared" ca="1" si="119"/>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19"/>
        <v>0</v>
      </c>
      <c r="C302" s="885">
        <f t="shared" ca="1" si="119"/>
        <v>0</v>
      </c>
      <c r="D302" s="885">
        <f t="shared" ca="1" si="119"/>
        <v>0</v>
      </c>
      <c r="E302" s="886">
        <f t="shared" ca="1" si="119"/>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8"/>
        <v>Arbeitsausfall mit Lohnfortzahlung</v>
      </c>
      <c r="B303" s="885">
        <f t="shared" ca="1" si="119"/>
        <v>0</v>
      </c>
      <c r="C303" s="885">
        <f t="shared" ca="1" si="119"/>
        <v>0</v>
      </c>
      <c r="D303" s="885">
        <f t="shared" ca="1" si="119"/>
        <v>0</v>
      </c>
      <c r="E303" s="886">
        <f t="shared" ca="1" si="119"/>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8"/>
        <v>Arbeitsausfall ohne Lohnfortzahlung</v>
      </c>
      <c r="B304" s="885">
        <f t="shared" ca="1" si="119"/>
        <v>0</v>
      </c>
      <c r="C304" s="885">
        <f t="shared" ca="1" si="119"/>
        <v>0</v>
      </c>
      <c r="D304" s="885">
        <f t="shared" ca="1" si="119"/>
        <v>0</v>
      </c>
      <c r="E304" s="886">
        <f t="shared" ca="1" si="119"/>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8"/>
        <v>Vergütung von Überstunden</v>
      </c>
      <c r="B305" s="885">
        <f t="shared" ca="1" si="119"/>
        <v>0</v>
      </c>
      <c r="C305" s="885">
        <f t="shared" ca="1" si="119"/>
        <v>0</v>
      </c>
      <c r="D305" s="885">
        <f t="shared" ca="1" si="119"/>
        <v>0</v>
      </c>
      <c r="E305" s="886">
        <f t="shared" ca="1" si="119"/>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8"/>
        <v>Korrektur Saldo Arbeitsstunden ohne Auswirkungen auf Lohnabrechnung (Eingabe in Spalte F)</v>
      </c>
      <c r="B306" s="888">
        <f t="shared" ca="1" si="119"/>
        <v>0</v>
      </c>
      <c r="C306" s="888">
        <f t="shared" ca="1" si="119"/>
        <v>0</v>
      </c>
      <c r="D306" s="888">
        <f t="shared" ca="1" si="119"/>
        <v>0</v>
      </c>
      <c r="E306" s="889">
        <f t="shared" ca="1" si="119"/>
        <v>0</v>
      </c>
      <c r="F306" s="143"/>
      <c r="G306" s="879"/>
      <c r="H306" s="880"/>
      <c r="I306" s="880"/>
      <c r="AK306" s="137"/>
      <c r="AQ306" s="55"/>
      <c r="AR306" s="137"/>
      <c r="AT306" s="55"/>
    </row>
    <row r="307" spans="1:46" x14ac:dyDescent="0.25">
      <c r="A307" s="882" t="str">
        <f t="shared" ca="1" si="118"/>
        <v>Saldo Arbeitsstunden Monatsende</v>
      </c>
      <c r="B307" s="883">
        <f t="shared" ca="1" si="119"/>
        <v>0</v>
      </c>
      <c r="C307" s="883">
        <f t="shared" ca="1" si="119"/>
        <v>0</v>
      </c>
      <c r="D307" s="883">
        <f t="shared" ca="1" si="119"/>
        <v>0</v>
      </c>
      <c r="E307" s="884">
        <f t="shared" ca="1" si="119"/>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0">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45352</v>
      </c>
      <c r="I310" s="878"/>
      <c r="O310" s="408"/>
      <c r="AK310" s="408"/>
      <c r="AM310" s="408"/>
      <c r="AO310" s="408"/>
      <c r="AR310" s="408"/>
    </row>
    <row r="311" spans="1:46" ht="27" customHeight="1" x14ac:dyDescent="0.25">
      <c r="A311" s="891" t="str">
        <f t="shared" ca="1" si="120"/>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0"/>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0"/>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0"/>
        <v>Beschreibung</v>
      </c>
      <c r="B314" s="893" t="str">
        <f t="shared" ref="B314:B329" si="121">IF(P314=0,"",IF(P314=1,AB314,Q314))</f>
        <v/>
      </c>
      <c r="C314" s="893" t="str">
        <f t="shared" ref="C314:C329" si="122">IF(Q314=0,"",IF(Q314=1,AC314,R314))</f>
        <v/>
      </c>
      <c r="D314" s="495" t="str">
        <f ca="1">IF($O314&gt;0,AD314,"")</f>
        <v>Auswahl Ja/Nein</v>
      </c>
      <c r="E314" s="460" t="str">
        <f ca="1">IF($O314&gt;0,AE314,"")</f>
        <v>Einheit</v>
      </c>
      <c r="F314" s="461" t="str">
        <f t="shared" ref="F314:I314" ca="1" si="123">IF($O314&gt;0,AF314,"")</f>
        <v>Wert</v>
      </c>
      <c r="G314" s="894" t="str">
        <f t="shared" ca="1" si="123"/>
        <v>Beschreibungstext zu Korrektur (max. 32 Zeichen)</v>
      </c>
      <c r="H314" s="895">
        <f t="shared" si="123"/>
        <v>0</v>
      </c>
      <c r="I314" s="895">
        <f t="shared" si="123"/>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0"/>
        <v>Monatslohn</v>
      </c>
      <c r="B315" s="862" t="str">
        <f t="shared" ca="1" si="121"/>
        <v>CHF</v>
      </c>
      <c r="C315" s="863">
        <f t="shared" si="122"/>
        <v>0</v>
      </c>
      <c r="D315" s="136" t="str">
        <f ca="1">Text!C$5</f>
        <v>Nein</v>
      </c>
      <c r="E315" s="373" t="str">
        <f t="shared" ref="E315:E329" ca="1" si="124">IF(VLOOKUP(D315,A_JaNein_Auswahl,2,0)=1,IF($O315&gt;0,Q315,""),"")</f>
        <v/>
      </c>
      <c r="F315" s="286"/>
      <c r="G315" s="871" t="s">
        <v>758</v>
      </c>
      <c r="H315" s="869"/>
      <c r="I315" s="870"/>
      <c r="N315" s="87"/>
      <c r="O315" s="288">
        <v>1</v>
      </c>
      <c r="P315" s="55">
        <f t="shared" ref="P315:P329" ca="1" si="125">VLOOKUP(D315,A_JaNein_Auswahl,2,0)</f>
        <v>2</v>
      </c>
      <c r="Q315" s="55" t="s">
        <v>1134</v>
      </c>
      <c r="AA315" s="294" t="str">
        <f ca="1">INDEX(L_Lohnart,N_LohnartAuswahl)</f>
        <v>Monatslohn</v>
      </c>
      <c r="AK315" s="137"/>
      <c r="AQ315" s="55"/>
      <c r="AR315" s="137"/>
      <c r="AT315" s="55"/>
    </row>
    <row r="316" spans="1:46" x14ac:dyDescent="0.25">
      <c r="A316" s="862" t="str">
        <f t="shared" si="120"/>
        <v/>
      </c>
      <c r="B316" s="862" t="str">
        <f t="shared" ca="1" si="121"/>
        <v>Anzahl</v>
      </c>
      <c r="C316" s="863">
        <f t="shared" ca="1" si="122"/>
        <v>0</v>
      </c>
      <c r="D316" s="136" t="str">
        <f ca="1">Text!C$5</f>
        <v>Nein</v>
      </c>
      <c r="E316" s="373" t="str">
        <f t="shared" ca="1" si="124"/>
        <v/>
      </c>
      <c r="F316" s="287"/>
      <c r="G316" s="871" t="s">
        <v>26</v>
      </c>
      <c r="H316" s="869"/>
      <c r="I316" s="870"/>
      <c r="O316" s="288">
        <f>1*('  B  '!C61&gt;0)</f>
        <v>0</v>
      </c>
      <c r="P316" s="55">
        <f t="shared" ca="1" si="125"/>
        <v>2</v>
      </c>
      <c r="Q316" s="55" t="str">
        <f ca="1">B_Anzahl</f>
        <v>Anzahl</v>
      </c>
      <c r="AA316" s="55" t="str">
        <f t="shared" ref="AA316:AA329" ca="1" si="126">INDIRECT(ADDRESS(ROW()+N_Offset_M,COLUMN(A316)+(N_SpracheAuswahl)*26,,,"Text"))</f>
        <v>Nachtpauschalen</v>
      </c>
    </row>
    <row r="317" spans="1:46" x14ac:dyDescent="0.25">
      <c r="A317" s="862" t="str">
        <f t="shared" ca="1" si="120"/>
        <v>Ferienentschädigung</v>
      </c>
      <c r="B317" s="862" t="str">
        <f t="shared" ca="1" si="121"/>
        <v>Stunden</v>
      </c>
      <c r="C317" s="863">
        <f t="shared" ca="1" si="122"/>
        <v>0</v>
      </c>
      <c r="D317" s="136" t="str">
        <f ca="1">Text!C$5</f>
        <v>Nein</v>
      </c>
      <c r="E317" s="373" t="str">
        <f t="shared" ca="1" si="124"/>
        <v/>
      </c>
      <c r="F317" s="286"/>
      <c r="G317" s="871"/>
      <c r="H317" s="869"/>
      <c r="I317" s="870"/>
      <c r="N317" s="63"/>
      <c r="O317" s="288">
        <f ca="1">1*OR(AND(N_LohnartAuswahl=1,N_Kündigung&gt;0),AND(N_LohnartAuswahl=2,N_Ferien_ArtAuszahlung_Auswahl=2))</f>
        <v>1</v>
      </c>
      <c r="P317" s="55">
        <f t="shared" ca="1" si="125"/>
        <v>2</v>
      </c>
      <c r="Q317" s="55" t="str">
        <f ca="1">B_Stunden</f>
        <v>Stunden</v>
      </c>
      <c r="AA317" s="55" t="str">
        <f t="shared" ca="1" si="126"/>
        <v>Ferienentschädigung</v>
      </c>
    </row>
    <row r="318" spans="1:46" ht="52.2" customHeight="1" x14ac:dyDescent="0.25">
      <c r="A318" s="862" t="str">
        <f t="shared" ca="1" si="120"/>
        <v>Ferienguthaben (ohne Auswirkung auf Lohnzahlung)</v>
      </c>
      <c r="B318" s="862" t="str">
        <f t="shared" ca="1" si="121"/>
        <v>Tage</v>
      </c>
      <c r="C318" s="863">
        <f t="shared" ca="1" si="122"/>
        <v>0</v>
      </c>
      <c r="D318" s="136" t="str">
        <f ca="1">Text!C$5</f>
        <v>Nein</v>
      </c>
      <c r="E318" s="373" t="str">
        <f t="shared" ca="1" si="124"/>
        <v/>
      </c>
      <c r="F318" s="286"/>
      <c r="G318" s="871"/>
      <c r="H318" s="867"/>
      <c r="I318" s="868"/>
      <c r="N318" s="575">
        <f>IF(O318=1,F318,0)</f>
        <v>0</v>
      </c>
      <c r="O318" s="288">
        <v>1</v>
      </c>
      <c r="P318" s="55">
        <f t="shared" ca="1" si="125"/>
        <v>2</v>
      </c>
      <c r="Q318" s="55" t="str">
        <f ca="1">B_Tage</f>
        <v>Tage</v>
      </c>
      <c r="AA318" s="55" t="str">
        <f t="shared" ca="1" si="126"/>
        <v>Ferienguthaben (ohne Auswirkung auf Lohnzahlung)</v>
      </c>
    </row>
    <row r="319" spans="1:46" x14ac:dyDescent="0.25">
      <c r="A319" s="862" t="str">
        <f t="shared" ref="A319:C320" ca="1" si="127">IF(O319=0,"",IF(O319=1,AA319,P319))</f>
        <v>AHV/IV/EO Prämien</v>
      </c>
      <c r="B319" s="862" t="str">
        <f t="shared" ca="1" si="127"/>
        <v>CHF</v>
      </c>
      <c r="C319" s="863">
        <f t="shared" si="127"/>
        <v>0</v>
      </c>
      <c r="D319" s="136" t="str">
        <f ca="1">Text!C$5</f>
        <v>Nein</v>
      </c>
      <c r="E319" s="373" t="str">
        <f t="shared" ca="1" si="124"/>
        <v/>
      </c>
      <c r="F319" s="286"/>
      <c r="G319" s="871" t="s">
        <v>1350</v>
      </c>
      <c r="H319" s="867"/>
      <c r="I319" s="868"/>
      <c r="O319" s="288">
        <v>1</v>
      </c>
      <c r="P319" s="55">
        <f ca="1">VLOOKUP(D319,A_JaNein_Auswahl,2,0)</f>
        <v>2</v>
      </c>
      <c r="Q319" s="55" t="s">
        <v>1134</v>
      </c>
      <c r="AA319" s="55" t="str">
        <f t="shared" ca="1" si="126"/>
        <v>AHV/IV/EO Prämien</v>
      </c>
    </row>
    <row r="320" spans="1:46" ht="27" customHeight="1" x14ac:dyDescent="0.25">
      <c r="A320" s="862" t="str">
        <f t="shared" ca="1" si="127"/>
        <v>ALV Prämien</v>
      </c>
      <c r="B320" s="862" t="str">
        <f t="shared" ca="1" si="127"/>
        <v>CHF</v>
      </c>
      <c r="C320" s="863">
        <f t="shared" si="127"/>
        <v>0</v>
      </c>
      <c r="D320" s="136" t="str">
        <f ca="1">Text!C$5</f>
        <v>Nein</v>
      </c>
      <c r="E320" s="373" t="str">
        <f t="shared" ca="1" si="124"/>
        <v/>
      </c>
      <c r="F320" s="286"/>
      <c r="G320" s="871" t="s">
        <v>944</v>
      </c>
      <c r="H320" s="867"/>
      <c r="I320" s="868"/>
      <c r="O320" s="288">
        <v>1</v>
      </c>
      <c r="P320" s="55">
        <f ca="1">VLOOKUP(D320,A_JaNein_Auswahl,2,0)</f>
        <v>2</v>
      </c>
      <c r="Q320" s="55" t="s">
        <v>1134</v>
      </c>
      <c r="AA320" s="55" t="str">
        <f t="shared" ca="1" si="126"/>
        <v>ALV Prämien</v>
      </c>
    </row>
    <row r="321" spans="1:27" x14ac:dyDescent="0.25">
      <c r="A321" s="862" t="str">
        <f t="shared" si="120"/>
        <v/>
      </c>
      <c r="B321" s="862" t="str">
        <f t="shared" ca="1" si="121"/>
        <v>CHF</v>
      </c>
      <c r="C321" s="863">
        <f t="shared" si="122"/>
        <v>0</v>
      </c>
      <c r="D321" s="136" t="str">
        <f ca="1">Text!C$5</f>
        <v>Nein</v>
      </c>
      <c r="E321" s="373" t="str">
        <f t="shared" ca="1" si="124"/>
        <v/>
      </c>
      <c r="F321" s="286"/>
      <c r="G321" s="871" t="s">
        <v>31</v>
      </c>
      <c r="H321" s="867"/>
      <c r="I321" s="868"/>
      <c r="O321" s="288">
        <f>1*(SUM('  B  '!C79:D79)&gt;0)</f>
        <v>0</v>
      </c>
      <c r="P321" s="55">
        <f t="shared" ca="1" si="125"/>
        <v>2</v>
      </c>
      <c r="Q321" s="55" t="s">
        <v>1134</v>
      </c>
      <c r="AA321" s="55" t="str">
        <f t="shared" ca="1" si="126"/>
        <v>NBU Prämien</v>
      </c>
    </row>
    <row r="322" spans="1:27" ht="27" customHeight="1" x14ac:dyDescent="0.25">
      <c r="A322" s="862" t="str">
        <f t="shared" si="120"/>
        <v/>
      </c>
      <c r="B322" s="862" t="str">
        <f t="shared" ca="1" si="121"/>
        <v>CHF</v>
      </c>
      <c r="C322" s="863">
        <f t="shared" si="122"/>
        <v>0</v>
      </c>
      <c r="D322" s="136" t="str">
        <f ca="1">Text!C$5</f>
        <v>Nein</v>
      </c>
      <c r="E322" s="373" t="str">
        <f t="shared" ca="1" si="124"/>
        <v/>
      </c>
      <c r="F322" s="286"/>
      <c r="G322" s="871" t="s">
        <v>1351</v>
      </c>
      <c r="H322" s="867"/>
      <c r="I322" s="868"/>
      <c r="O322" s="288">
        <f>1*(SUM('  B  '!C80:D80)&gt;0)</f>
        <v>0</v>
      </c>
      <c r="P322" s="55">
        <f t="shared" ca="1" si="125"/>
        <v>2</v>
      </c>
      <c r="Q322" s="55" t="s">
        <v>1134</v>
      </c>
      <c r="AA322" s="55" t="str">
        <f t="shared" ca="1" si="126"/>
        <v>Berufliche Vorsorge Prämie</v>
      </c>
    </row>
    <row r="323" spans="1:27" ht="27" customHeight="1" x14ac:dyDescent="0.25">
      <c r="A323" s="862" t="str">
        <f t="shared" ca="1" si="120"/>
        <v>Familienzulage Prämie</v>
      </c>
      <c r="B323" s="862" t="str">
        <f t="shared" ca="1" si="121"/>
        <v>CHF</v>
      </c>
      <c r="C323" s="863">
        <f t="shared" si="122"/>
        <v>0</v>
      </c>
      <c r="D323" s="136" t="str">
        <f ca="1">Text!C$5</f>
        <v>Nein</v>
      </c>
      <c r="E323" s="373" t="str">
        <f t="shared" ca="1" si="124"/>
        <v/>
      </c>
      <c r="F323" s="286"/>
      <c r="G323" s="871" t="s">
        <v>1355</v>
      </c>
      <c r="H323" s="867"/>
      <c r="I323" s="868"/>
      <c r="O323" s="288">
        <f>1*(SUM('  B  '!C81:D81)&gt;0)</f>
        <v>1</v>
      </c>
      <c r="P323" s="55">
        <f t="shared" ca="1" si="125"/>
        <v>2</v>
      </c>
      <c r="Q323" s="55" t="s">
        <v>1134</v>
      </c>
      <c r="AA323" s="55" t="str">
        <f t="shared" ca="1" si="126"/>
        <v>Familienzulage Prämie</v>
      </c>
    </row>
    <row r="324" spans="1:27" x14ac:dyDescent="0.25">
      <c r="A324" s="862" t="str">
        <f t="shared" si="120"/>
        <v/>
      </c>
      <c r="B324" s="862" t="str">
        <f t="shared" ca="1" si="121"/>
        <v>CHF</v>
      </c>
      <c r="C324" s="863">
        <f t="shared" si="122"/>
        <v>0</v>
      </c>
      <c r="D324" s="136" t="str">
        <f ca="1">Text!C$5</f>
        <v>Nein</v>
      </c>
      <c r="E324" s="373" t="str">
        <f t="shared" ca="1" si="124"/>
        <v/>
      </c>
      <c r="F324" s="286"/>
      <c r="G324" s="871" t="s">
        <v>33</v>
      </c>
      <c r="H324" s="867"/>
      <c r="I324" s="868"/>
      <c r="O324" s="288">
        <f>1*(SUM('  B  '!C82:D82)&gt;0)</f>
        <v>0</v>
      </c>
      <c r="P324" s="55">
        <f t="shared" ca="1" si="125"/>
        <v>2</v>
      </c>
      <c r="Q324" s="55" t="s">
        <v>1134</v>
      </c>
      <c r="AA324" s="55" t="str">
        <f t="shared" ca="1" si="126"/>
        <v>KTG Prämie</v>
      </c>
    </row>
    <row r="325" spans="1:27" ht="27" customHeight="1" x14ac:dyDescent="0.25">
      <c r="A325" s="862" t="str">
        <f ca="1">IF(O325=0,"",IF(O325=1,AA325,P325))</f>
        <v/>
      </c>
      <c r="B325" s="862" t="str">
        <f t="shared" ca="1" si="121"/>
        <v>CHF</v>
      </c>
      <c r="C325" s="863">
        <f t="shared" si="122"/>
        <v>0</v>
      </c>
      <c r="D325" s="136" t="str">
        <f ca="1">Text!C$5</f>
        <v>Nein</v>
      </c>
      <c r="E325" s="373" t="str">
        <f t="shared" ca="1" si="124"/>
        <v/>
      </c>
      <c r="F325" s="286"/>
      <c r="G325" s="871" t="s">
        <v>1352</v>
      </c>
      <c r="H325" s="869"/>
      <c r="I325" s="870"/>
      <c r="N325" s="63"/>
      <c r="O325" s="288">
        <f ca="1">1*(VLOOKUP('  B  '!C84,A_JaNein_Auswahl,2,0)=1)</f>
        <v>0</v>
      </c>
      <c r="P325" s="55">
        <f t="shared" ca="1" si="125"/>
        <v>2</v>
      </c>
      <c r="Q325" s="55" t="s">
        <v>1134</v>
      </c>
      <c r="AA325" s="55" t="str">
        <f t="shared" ca="1" si="126"/>
        <v>Kinder / Ausbildungszulage</v>
      </c>
    </row>
    <row r="326" spans="1:27" ht="39.9" customHeight="1" x14ac:dyDescent="0.25">
      <c r="A326" s="862" t="str">
        <f t="shared" ca="1" si="120"/>
        <v>Taggelder der Unfallversicherung</v>
      </c>
      <c r="B326" s="862" t="str">
        <f t="shared" ca="1" si="121"/>
        <v>CHF</v>
      </c>
      <c r="C326" s="863">
        <f t="shared" si="122"/>
        <v>0</v>
      </c>
      <c r="D326" s="136" t="str">
        <f ca="1">Text!C$5</f>
        <v>Nein</v>
      </c>
      <c r="E326" s="373" t="str">
        <f t="shared" ca="1" si="124"/>
        <v/>
      </c>
      <c r="F326" s="286"/>
      <c r="G326" s="871" t="s">
        <v>1354</v>
      </c>
      <c r="H326" s="869"/>
      <c r="I326" s="870"/>
      <c r="N326" s="63"/>
      <c r="O326" s="288">
        <v>1</v>
      </c>
      <c r="P326" s="55">
        <f t="shared" ca="1" si="125"/>
        <v>2</v>
      </c>
      <c r="Q326" s="55" t="s">
        <v>1134</v>
      </c>
      <c r="AA326" s="55" t="str">
        <f t="shared" ca="1" si="126"/>
        <v>Taggelder der Unfallversicherung</v>
      </c>
    </row>
    <row r="327" spans="1:27" ht="27" customHeight="1" x14ac:dyDescent="0.25">
      <c r="A327" s="862" t="str">
        <f t="shared" ca="1" si="120"/>
        <v/>
      </c>
      <c r="B327" s="862" t="str">
        <f t="shared" ca="1" si="121"/>
        <v>CHF</v>
      </c>
      <c r="C327" s="863">
        <f t="shared" si="122"/>
        <v>0</v>
      </c>
      <c r="D327" s="136" t="str">
        <f ca="1">Text!C$5</f>
        <v>Nein</v>
      </c>
      <c r="E327" s="373" t="str">
        <f t="shared" ca="1" si="124"/>
        <v/>
      </c>
      <c r="F327" s="286"/>
      <c r="G327" s="871" t="s">
        <v>1353</v>
      </c>
      <c r="H327" s="869"/>
      <c r="I327" s="870"/>
      <c r="N327" s="63"/>
      <c r="O327" s="288">
        <f ca="1">1*('  B  '!F110=1)</f>
        <v>0</v>
      </c>
      <c r="P327" s="55">
        <f t="shared" ca="1" si="125"/>
        <v>2</v>
      </c>
      <c r="Q327" s="55" t="s">
        <v>1134</v>
      </c>
      <c r="AA327" s="55" t="str">
        <f t="shared" ca="1" si="126"/>
        <v>Taggelder der Krankenversicherung</v>
      </c>
    </row>
    <row r="328" spans="1:27" x14ac:dyDescent="0.25">
      <c r="A328" s="862" t="str">
        <f t="shared" ca="1" si="120"/>
        <v/>
      </c>
      <c r="B328" s="862" t="str">
        <f t="shared" ca="1" si="121"/>
        <v>CHF</v>
      </c>
      <c r="C328" s="863">
        <f t="shared" si="122"/>
        <v>0</v>
      </c>
      <c r="D328" s="136" t="str">
        <f ca="1">Text!C$5</f>
        <v>Nein</v>
      </c>
      <c r="E328" s="373" t="str">
        <f t="shared" ca="1" si="124"/>
        <v/>
      </c>
      <c r="F328" s="286"/>
      <c r="G328" s="871"/>
      <c r="H328" s="869"/>
      <c r="I328" s="870"/>
      <c r="N328" s="63"/>
      <c r="O328" s="288">
        <f ca="1">1*(VLOOKUP('  B  '!C85,A_JaNein_Auswahl,2,0)=1)</f>
        <v>0</v>
      </c>
      <c r="P328" s="55">
        <f t="shared" ca="1" si="125"/>
        <v>2</v>
      </c>
      <c r="Q328" s="55" t="s">
        <v>1134</v>
      </c>
      <c r="AA328" s="55" t="str">
        <f t="shared" ca="1" si="126"/>
        <v>Quellensteuer</v>
      </c>
    </row>
    <row r="329" spans="1:27" x14ac:dyDescent="0.25">
      <c r="A329" s="862" t="str">
        <f t="shared" ca="1" si="120"/>
        <v>Spesen</v>
      </c>
      <c r="B329" s="862" t="str">
        <f t="shared" ca="1" si="121"/>
        <v>CHF</v>
      </c>
      <c r="C329" s="863">
        <f t="shared" si="122"/>
        <v>0</v>
      </c>
      <c r="D329" s="136" t="str">
        <f ca="1">Text!C$5</f>
        <v>Nein</v>
      </c>
      <c r="E329" s="373" t="str">
        <f t="shared" ca="1" si="124"/>
        <v/>
      </c>
      <c r="F329" s="286"/>
      <c r="G329" s="871" t="s">
        <v>29</v>
      </c>
      <c r="H329" s="869"/>
      <c r="I329" s="870"/>
      <c r="N329" s="63"/>
      <c r="O329" s="288">
        <v>1</v>
      </c>
      <c r="P329" s="55">
        <f t="shared" ca="1" si="125"/>
        <v>2</v>
      </c>
      <c r="Q329" s="55" t="s">
        <v>1134</v>
      </c>
      <c r="AA329" s="55" t="str">
        <f t="shared" ca="1" si="126"/>
        <v>Spesen</v>
      </c>
    </row>
    <row r="330" spans="1:27" x14ac:dyDescent="0.25">
      <c r="A330" s="492">
        <f t="shared" si="120"/>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8">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45352</v>
      </c>
      <c r="H360" s="159"/>
      <c r="I360" s="197"/>
      <c r="J360" s="160">
        <f t="shared" ref="J360:J427" si="129">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29"/>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29"/>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29"/>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29"/>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29"/>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29"/>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29"/>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29"/>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29"/>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29"/>
        <v>12</v>
      </c>
      <c r="K370" s="55">
        <v>12</v>
      </c>
      <c r="M370" s="55" t="s">
        <v>54</v>
      </c>
      <c r="AA370" s="206" t="str">
        <f t="shared" ref="AA370:AA380" ca="1" si="130">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29"/>
        <v>13</v>
      </c>
      <c r="K371" s="55">
        <v>13</v>
      </c>
      <c r="M371" s="55" t="s">
        <v>54</v>
      </c>
      <c r="N371" s="55" t="b">
        <f>'  B  '!C61=0</f>
        <v>1</v>
      </c>
      <c r="AA371" s="206" t="str">
        <f t="shared" ca="1" si="130"/>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29"/>
        <v>14</v>
      </c>
      <c r="K372" s="55">
        <v>14</v>
      </c>
      <c r="L372" s="55" t="s">
        <v>36</v>
      </c>
      <c r="M372" s="55" t="s">
        <v>54</v>
      </c>
      <c r="AA372" s="206" t="str">
        <f t="shared" ca="1" si="130"/>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29"/>
        <v>14</v>
      </c>
      <c r="K373" s="55">
        <v>15</v>
      </c>
      <c r="AA373" s="206" t="str">
        <f t="shared" ca="1" si="130"/>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29"/>
        <v>14</v>
      </c>
      <c r="K374" s="55">
        <v>16</v>
      </c>
      <c r="N374" s="87"/>
      <c r="R374" s="163"/>
      <c r="AA374" s="206" t="str">
        <f t="shared" ca="1" si="130"/>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29"/>
        <v>14</v>
      </c>
      <c r="K375" s="55">
        <v>17</v>
      </c>
      <c r="AA375" s="206" t="str">
        <f t="shared" ca="1" si="130"/>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29"/>
        <v>14</v>
      </c>
      <c r="K376" s="55">
        <v>18</v>
      </c>
      <c r="R376" s="163"/>
      <c r="AA376" s="206" t="str">
        <f t="shared" ca="1" si="130"/>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29"/>
        <v>14</v>
      </c>
      <c r="K377" s="55">
        <v>19</v>
      </c>
      <c r="R377" s="163"/>
      <c r="AA377" s="206" t="str">
        <f t="shared" ca="1" si="130"/>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29"/>
        <v>14</v>
      </c>
      <c r="K378" s="55">
        <v>20</v>
      </c>
      <c r="R378" s="163"/>
      <c r="AA378" s="206" t="str">
        <f t="shared" ca="1" si="130"/>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29"/>
        <v>14</v>
      </c>
      <c r="K379" s="55">
        <v>21</v>
      </c>
      <c r="L379" s="55" t="s">
        <v>525</v>
      </c>
      <c r="M379" s="275" t="str">
        <f ca="1">IF(NOT(I378=0),"F","")</f>
        <v/>
      </c>
      <c r="R379" s="163"/>
      <c r="AA379" s="206">
        <f t="shared" ca="1" si="130"/>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29"/>
        <v>14</v>
      </c>
      <c r="K380" s="55">
        <v>22</v>
      </c>
      <c r="R380" s="163"/>
      <c r="AA380" s="206" t="str">
        <f t="shared" ca="1" si="130"/>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29"/>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29"/>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29"/>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29"/>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29"/>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29"/>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29"/>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29"/>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29"/>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29"/>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29"/>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29"/>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29"/>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29"/>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29"/>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29"/>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29"/>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29"/>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29"/>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29"/>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29"/>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29"/>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29"/>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29"/>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29"/>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1">AA406</f>
        <v>Sozialversicherungsabzüge</v>
      </c>
      <c r="B406" s="159"/>
      <c r="C406" s="159"/>
      <c r="D406" s="159"/>
      <c r="F406" s="159"/>
      <c r="G406" s="159"/>
      <c r="H406" s="197"/>
      <c r="I406" s="159"/>
      <c r="J406" s="160">
        <f t="shared" ca="1" si="129"/>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2">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1"/>
        <v>AHV/IV/EO</v>
      </c>
      <c r="B407" s="159"/>
      <c r="C407" s="159"/>
      <c r="D407" s="159"/>
      <c r="F407" s="159"/>
      <c r="G407" s="632">
        <f>'  B  '!D71</f>
        <v>5.2999999999999999E-2</v>
      </c>
      <c r="H407" s="205">
        <f ca="1">MAX(0,P404-P406*N_Pensioniert_Freibetrag)</f>
        <v>0</v>
      </c>
      <c r="I407" s="169">
        <f ca="1">-ROUND((G407*H407)*2,1)/2</f>
        <v>0</v>
      </c>
      <c r="J407" s="160">
        <f t="shared" ca="1" si="129"/>
        <v>18</v>
      </c>
      <c r="K407" s="55">
        <v>49</v>
      </c>
      <c r="P407" s="646">
        <f ca="1">-'  B  '!C71*MAX(0,P404-P406*N_Pensioniert_Freibetrag)</f>
        <v>0</v>
      </c>
      <c r="Q407" s="633" t="s">
        <v>1232</v>
      </c>
      <c r="R407" s="163"/>
      <c r="AA407" s="206" t="str">
        <f t="shared" ca="1" si="132"/>
        <v>AHV/IV/EO</v>
      </c>
      <c r="AB407" s="206"/>
      <c r="AC407" s="206"/>
      <c r="AD407" s="206"/>
      <c r="AE407" s="63"/>
      <c r="AF407" s="206"/>
      <c r="AG407" s="306"/>
      <c r="AH407" s="205"/>
      <c r="AI407" s="266"/>
    </row>
    <row r="408" spans="1:35" hidden="1" x14ac:dyDescent="0.25">
      <c r="A408" s="159" t="str">
        <f t="shared" ca="1" si="131"/>
        <v>Arbeitslosenversicherung (ALV)</v>
      </c>
      <c r="B408" s="159"/>
      <c r="C408" s="159"/>
      <c r="D408" s="159"/>
      <c r="F408" s="159"/>
      <c r="G408" s="168">
        <f>'  B  '!D72*NOT(P406)</f>
        <v>1.0999999999999999E-2</v>
      </c>
      <c r="H408" s="205">
        <f ca="1">P404</f>
        <v>0</v>
      </c>
      <c r="I408" s="169">
        <f ca="1">-ROUND((G408*H408)*2,1)/2</f>
        <v>0</v>
      </c>
      <c r="J408" s="160">
        <f t="shared" ca="1" si="129"/>
        <v>18</v>
      </c>
      <c r="K408" s="55">
        <v>50</v>
      </c>
      <c r="P408" s="646">
        <f ca="1">-NOT(P406)*'  B  '!C72*P404</f>
        <v>0</v>
      </c>
      <c r="Q408" s="633" t="s">
        <v>1233</v>
      </c>
      <c r="R408" s="163"/>
      <c r="AA408" s="206" t="str">
        <f t="shared" ca="1" si="132"/>
        <v>Arbeitslosenversicherung (ALV)</v>
      </c>
      <c r="AB408" s="206"/>
      <c r="AC408" s="206"/>
      <c r="AD408" s="206"/>
      <c r="AE408" s="63"/>
      <c r="AF408" s="206"/>
      <c r="AG408" s="306"/>
      <c r="AH408" s="205"/>
      <c r="AI408" s="266"/>
    </row>
    <row r="409" spans="1:35" hidden="1" x14ac:dyDescent="0.25">
      <c r="A409" s="67" t="str">
        <f t="shared" ca="1" si="131"/>
        <v>Familienausgleichskasse</v>
      </c>
      <c r="B409" s="159"/>
      <c r="C409" s="159"/>
      <c r="D409" s="159"/>
      <c r="F409" s="159"/>
      <c r="G409" s="168">
        <f>'  B  '!D81</f>
        <v>0</v>
      </c>
      <c r="H409" s="205">
        <f ca="1">P404</f>
        <v>0</v>
      </c>
      <c r="I409" s="169">
        <f ca="1">-ROUND((G409*H409)*2,1)/2</f>
        <v>0</v>
      </c>
      <c r="J409" s="160">
        <f t="shared" ca="1" si="129"/>
        <v>18</v>
      </c>
      <c r="K409" s="55">
        <v>51</v>
      </c>
      <c r="P409" s="646">
        <f ca="1">-'  B  '!C81*MAX(0,P404-P406*N_Pensioniert_Freibetrag)</f>
        <v>0</v>
      </c>
      <c r="Q409" s="633" t="s">
        <v>1234</v>
      </c>
      <c r="R409" s="163"/>
      <c r="AA409" s="170" t="str">
        <f t="shared" ca="1" si="132"/>
        <v>Familienausgleichskasse</v>
      </c>
      <c r="AB409" s="206"/>
      <c r="AC409" s="206"/>
      <c r="AD409" s="206"/>
      <c r="AE409" s="63"/>
      <c r="AF409" s="206"/>
      <c r="AG409" s="306"/>
      <c r="AH409" s="205"/>
      <c r="AI409" s="266"/>
    </row>
    <row r="410" spans="1:35" hidden="1" x14ac:dyDescent="0.25">
      <c r="A410" s="159" t="str">
        <f t="shared" ca="1" si="131"/>
        <v>Berufliche Vorsorge (Pensionskassenbeitrag)</v>
      </c>
      <c r="B410" s="159"/>
      <c r="C410" s="159"/>
      <c r="D410" s="159"/>
      <c r="F410" s="159"/>
      <c r="H410" s="209">
        <f>'  B  '!D80</f>
        <v>0</v>
      </c>
      <c r="I410" s="169">
        <f ca="1">-MAX(0,MIN(P$1+P$2-1,N_Anstellung_Ende)-MAX(P$1,N_Anstellung_Beginn)+1)/P$2*H410</f>
        <v>0</v>
      </c>
      <c r="J410" s="160">
        <f t="shared" ca="1" si="129"/>
        <v>18</v>
      </c>
      <c r="K410" s="55">
        <v>52</v>
      </c>
      <c r="P410" s="647">
        <f ca="1">-'  B  '!C80*(MAX(0,MIN(P$1+P$2-1,N_Anstellung_Ende)-MAX(P$1,N_Anstellung_Beginn)+1)/P$2)</f>
        <v>0</v>
      </c>
      <c r="Q410" s="633" t="s">
        <v>1235</v>
      </c>
      <c r="R410" s="163"/>
      <c r="AA410" s="206" t="str">
        <f t="shared" ca="1" si="132"/>
        <v>Berufliche Vorsorge (Pensionskassenbeitrag)</v>
      </c>
      <c r="AB410" s="206"/>
      <c r="AC410" s="206"/>
      <c r="AD410" s="206"/>
      <c r="AE410" s="63"/>
      <c r="AF410" s="206"/>
      <c r="AG410" s="297"/>
      <c r="AH410" s="205"/>
      <c r="AI410" s="266"/>
    </row>
    <row r="411" spans="1:35" hidden="1" x14ac:dyDescent="0.25">
      <c r="A411" s="159" t="str">
        <f t="shared" ca="1" si="131"/>
        <v>Nichtberufsunfallversicherung (NBU)</v>
      </c>
      <c r="B411" s="159"/>
      <c r="C411" s="159"/>
      <c r="D411" s="159"/>
      <c r="F411" s="210"/>
      <c r="G411" s="211">
        <f>'  B  '!D79</f>
        <v>0</v>
      </c>
      <c r="H411" s="205">
        <f ca="1">P404</f>
        <v>0</v>
      </c>
      <c r="I411" s="169">
        <f ca="1">-ROUND((G411*H411)*2,1)/2</f>
        <v>0</v>
      </c>
      <c r="J411" s="160">
        <f t="shared" ca="1" si="129"/>
        <v>18</v>
      </c>
      <c r="K411" s="55">
        <v>53</v>
      </c>
      <c r="P411" s="646">
        <f ca="1">-'  B  '!C79*P404</f>
        <v>0</v>
      </c>
      <c r="Q411" s="633" t="s">
        <v>1236</v>
      </c>
      <c r="R411" s="163"/>
      <c r="AA411" s="206" t="str">
        <f t="shared" ca="1" si="132"/>
        <v>Nichtberufsunfallversicherung (NBU)</v>
      </c>
      <c r="AB411" s="206"/>
      <c r="AC411" s="206"/>
      <c r="AD411" s="206"/>
      <c r="AE411" s="63"/>
      <c r="AF411" s="307"/>
      <c r="AG411" s="298"/>
      <c r="AH411" s="205"/>
      <c r="AI411" s="266"/>
    </row>
    <row r="412" spans="1:35" hidden="1" x14ac:dyDescent="0.25">
      <c r="A412" s="159" t="str">
        <f t="shared" ca="1" si="131"/>
        <v>Krankentaggeldversicherung</v>
      </c>
      <c r="B412" s="159"/>
      <c r="C412" s="159"/>
      <c r="D412" s="159"/>
      <c r="F412" s="210"/>
      <c r="G412" s="211">
        <f>'  B  '!D82</f>
        <v>0</v>
      </c>
      <c r="H412" s="205">
        <f ca="1">P404</f>
        <v>0</v>
      </c>
      <c r="I412" s="169">
        <f ca="1">-ROUND((G412*H412)*2,1)/2</f>
        <v>0</v>
      </c>
      <c r="J412" s="160">
        <f t="shared" ca="1" si="129"/>
        <v>18</v>
      </c>
      <c r="K412" s="55">
        <v>54</v>
      </c>
      <c r="P412" s="646">
        <f ca="1">-'  B  '!C82*P404</f>
        <v>0</v>
      </c>
      <c r="Q412" s="633" t="s">
        <v>1237</v>
      </c>
      <c r="AA412" s="206" t="str">
        <f t="shared" ca="1" si="132"/>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29"/>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29"/>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29"/>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29"/>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29"/>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29"/>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29"/>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29"/>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29"/>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29"/>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29"/>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29"/>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29"/>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29"/>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29"/>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3">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3"/>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3"/>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3"/>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3"/>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3"/>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3"/>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3"/>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3"/>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3"/>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3"/>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3"/>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3"/>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3"/>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3"/>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3"/>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3"/>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3"/>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3"/>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3"/>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3"/>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3"/>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3"/>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3"/>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3"/>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3"/>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3"/>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3"/>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3"/>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3"/>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fiiviJFQlyJhBzgR/eku3bVsOzq86xr/YzjhdlOOhmbRqEkeRo4yQB2Q4fum23te0yyMVGae0MIOsAu4p3cfDw==" saltValue="UMPPFGGRmi/CBzzixlmAVQ==" spinCount="100000" sheet="1" objects="1" scenarios="1"/>
  <mergeCells count="311">
    <mergeCell ref="G230:H230"/>
    <mergeCell ref="E221:F221"/>
    <mergeCell ref="A137:G137"/>
    <mergeCell ref="A138:G138"/>
    <mergeCell ref="A139:G139"/>
    <mergeCell ref="A140:G140"/>
    <mergeCell ref="A141:G141"/>
    <mergeCell ref="A142:G142"/>
    <mergeCell ref="A143:G143"/>
    <mergeCell ref="A144:G144"/>
    <mergeCell ref="A216:D216"/>
    <mergeCell ref="A214:D214"/>
    <mergeCell ref="A182:E182"/>
    <mergeCell ref="A183:E183"/>
    <mergeCell ref="A184:E184"/>
    <mergeCell ref="A185:E185"/>
    <mergeCell ref="A177:E177"/>
    <mergeCell ref="A180:E180"/>
    <mergeCell ref="A181:E181"/>
    <mergeCell ref="A186:E186"/>
    <mergeCell ref="A187:E187"/>
    <mergeCell ref="H147:I147"/>
    <mergeCell ref="A163:E163"/>
    <mergeCell ref="A160:E160"/>
    <mergeCell ref="A133:G133"/>
    <mergeCell ref="A134:G134"/>
    <mergeCell ref="A135:G135"/>
    <mergeCell ref="A136:G136"/>
    <mergeCell ref="A114:G114"/>
    <mergeCell ref="A115:G115"/>
    <mergeCell ref="A116:G116"/>
    <mergeCell ref="A117:G117"/>
    <mergeCell ref="A118:G118"/>
    <mergeCell ref="A119:G119"/>
    <mergeCell ref="A120:G120"/>
    <mergeCell ref="A121:G121"/>
    <mergeCell ref="A122:G122"/>
    <mergeCell ref="A123:G123"/>
    <mergeCell ref="A124:G124"/>
    <mergeCell ref="A125:G125"/>
    <mergeCell ref="A126:G126"/>
    <mergeCell ref="A127:G127"/>
    <mergeCell ref="A128:G128"/>
    <mergeCell ref="A129:G129"/>
    <mergeCell ref="A130:G130"/>
    <mergeCell ref="A131:G131"/>
    <mergeCell ref="A100:G100"/>
    <mergeCell ref="A101:G101"/>
    <mergeCell ref="A102:G102"/>
    <mergeCell ref="A103:G103"/>
    <mergeCell ref="A104:G104"/>
    <mergeCell ref="A105:G105"/>
    <mergeCell ref="A106:G106"/>
    <mergeCell ref="A107:G107"/>
    <mergeCell ref="A108:G108"/>
    <mergeCell ref="A91:G91"/>
    <mergeCell ref="A92:G92"/>
    <mergeCell ref="A93:G93"/>
    <mergeCell ref="A94:G94"/>
    <mergeCell ref="A95:G95"/>
    <mergeCell ref="A96:G96"/>
    <mergeCell ref="A97:G97"/>
    <mergeCell ref="A98:G98"/>
    <mergeCell ref="A99:G99"/>
    <mergeCell ref="A82:G82"/>
    <mergeCell ref="A83:G83"/>
    <mergeCell ref="A84:G84"/>
    <mergeCell ref="A85:G85"/>
    <mergeCell ref="A86:G86"/>
    <mergeCell ref="A87:G87"/>
    <mergeCell ref="A88:G88"/>
    <mergeCell ref="A89:G89"/>
    <mergeCell ref="A90:G90"/>
    <mergeCell ref="A73:G73"/>
    <mergeCell ref="A74:G74"/>
    <mergeCell ref="A75:G75"/>
    <mergeCell ref="A76:G76"/>
    <mergeCell ref="A77:G77"/>
    <mergeCell ref="A78:G78"/>
    <mergeCell ref="A79:G79"/>
    <mergeCell ref="A80:G80"/>
    <mergeCell ref="A81:G81"/>
    <mergeCell ref="A64:G64"/>
    <mergeCell ref="A65:G65"/>
    <mergeCell ref="A66:G66"/>
    <mergeCell ref="A67:G67"/>
    <mergeCell ref="A68:G68"/>
    <mergeCell ref="A69:G69"/>
    <mergeCell ref="A70:G70"/>
    <mergeCell ref="A71:G71"/>
    <mergeCell ref="A72:G72"/>
    <mergeCell ref="A331:I331"/>
    <mergeCell ref="E292:F292"/>
    <mergeCell ref="E293:F293"/>
    <mergeCell ref="E294:F294"/>
    <mergeCell ref="B261:I261"/>
    <mergeCell ref="G240:H240"/>
    <mergeCell ref="A158:E158"/>
    <mergeCell ref="A148:I148"/>
    <mergeCell ref="A149:I149"/>
    <mergeCell ref="A252:D252"/>
    <mergeCell ref="A253:D253"/>
    <mergeCell ref="E262:F262"/>
    <mergeCell ref="E271:F271"/>
    <mergeCell ref="A204:D204"/>
    <mergeCell ref="A206:D206"/>
    <mergeCell ref="A205:D205"/>
    <mergeCell ref="G238:I238"/>
    <mergeCell ref="G226:I226"/>
    <mergeCell ref="G236:I236"/>
    <mergeCell ref="G218:I218"/>
    <mergeCell ref="G228:I228"/>
    <mergeCell ref="A220:D220"/>
    <mergeCell ref="A215:D215"/>
    <mergeCell ref="G220:H220"/>
    <mergeCell ref="A161:E161"/>
    <mergeCell ref="A162:E162"/>
    <mergeCell ref="A173:E173"/>
    <mergeCell ref="A174:E174"/>
    <mergeCell ref="A175:E175"/>
    <mergeCell ref="A169:E169"/>
    <mergeCell ref="A170:E170"/>
    <mergeCell ref="A171:E171"/>
    <mergeCell ref="A172:E172"/>
    <mergeCell ref="A154:D154"/>
    <mergeCell ref="A155:D155"/>
    <mergeCell ref="A221:D221"/>
    <mergeCell ref="A218:D218"/>
    <mergeCell ref="A219:D219"/>
    <mergeCell ref="A237:D237"/>
    <mergeCell ref="A236:D236"/>
    <mergeCell ref="A238:D238"/>
    <mergeCell ref="A222:D222"/>
    <mergeCell ref="A224:D224"/>
    <mergeCell ref="A229:D229"/>
    <mergeCell ref="A232:D232"/>
    <mergeCell ref="A234:D234"/>
    <mergeCell ref="A235:D235"/>
    <mergeCell ref="A230:D230"/>
    <mergeCell ref="A231:D231"/>
    <mergeCell ref="A164:E164"/>
    <mergeCell ref="A165:E165"/>
    <mergeCell ref="A166:E166"/>
    <mergeCell ref="A167:E167"/>
    <mergeCell ref="A176:E176"/>
    <mergeCell ref="E231:F231"/>
    <mergeCell ref="F162:I162"/>
    <mergeCell ref="A159:E159"/>
    <mergeCell ref="A109:G109"/>
    <mergeCell ref="A110:G110"/>
    <mergeCell ref="A111:G111"/>
    <mergeCell ref="A112:G112"/>
    <mergeCell ref="A113:G113"/>
    <mergeCell ref="G237:I237"/>
    <mergeCell ref="A217:D217"/>
    <mergeCell ref="G217:I217"/>
    <mergeCell ref="A227:D227"/>
    <mergeCell ref="G227:I227"/>
    <mergeCell ref="A225:D225"/>
    <mergeCell ref="A226:D226"/>
    <mergeCell ref="A228:D228"/>
    <mergeCell ref="A152:D152"/>
    <mergeCell ref="G216:I216"/>
    <mergeCell ref="A207:D207"/>
    <mergeCell ref="A209:D209"/>
    <mergeCell ref="A210:D210"/>
    <mergeCell ref="A211:D211"/>
    <mergeCell ref="A208:D208"/>
    <mergeCell ref="A203:D203"/>
    <mergeCell ref="A202:D202"/>
    <mergeCell ref="A132:G132"/>
    <mergeCell ref="A151:D151"/>
    <mergeCell ref="A43:D43"/>
    <mergeCell ref="E28:F28"/>
    <mergeCell ref="E27:F27"/>
    <mergeCell ref="H21:I21"/>
    <mergeCell ref="A28:D28"/>
    <mergeCell ref="A39:D39"/>
    <mergeCell ref="A36:D36"/>
    <mergeCell ref="A42:E42"/>
    <mergeCell ref="F42:I42"/>
    <mergeCell ref="A34:D34"/>
    <mergeCell ref="F34:H34"/>
    <mergeCell ref="A26:I26"/>
    <mergeCell ref="A29:D29"/>
    <mergeCell ref="A27:D27"/>
    <mergeCell ref="A35:D35"/>
    <mergeCell ref="A44:E44"/>
    <mergeCell ref="A45:E45"/>
    <mergeCell ref="F44:I44"/>
    <mergeCell ref="F45:I45"/>
    <mergeCell ref="A25:H25"/>
    <mergeCell ref="E43:H43"/>
    <mergeCell ref="B13:I13"/>
    <mergeCell ref="B14:I14"/>
    <mergeCell ref="B15:I15"/>
    <mergeCell ref="B16:I16"/>
    <mergeCell ref="B17:I17"/>
    <mergeCell ref="B18:I18"/>
    <mergeCell ref="F40:I40"/>
    <mergeCell ref="A41:D41"/>
    <mergeCell ref="E41:F41"/>
    <mergeCell ref="E31:F31"/>
    <mergeCell ref="E30:F30"/>
    <mergeCell ref="E29:F29"/>
    <mergeCell ref="A30:D30"/>
    <mergeCell ref="A31:D31"/>
    <mergeCell ref="A32:D32"/>
    <mergeCell ref="A33:D33"/>
    <mergeCell ref="F32:H32"/>
    <mergeCell ref="F33:H33"/>
    <mergeCell ref="A303:E303"/>
    <mergeCell ref="E279:F279"/>
    <mergeCell ref="E280:F280"/>
    <mergeCell ref="E275:F275"/>
    <mergeCell ref="E276:F276"/>
    <mergeCell ref="E277:F277"/>
    <mergeCell ref="E278:F278"/>
    <mergeCell ref="E290:F290"/>
    <mergeCell ref="E267:F267"/>
    <mergeCell ref="E268:F268"/>
    <mergeCell ref="E269:F269"/>
    <mergeCell ref="E270:F270"/>
    <mergeCell ref="E287:F287"/>
    <mergeCell ref="E283:F283"/>
    <mergeCell ref="E284:F284"/>
    <mergeCell ref="E288:F288"/>
    <mergeCell ref="E289:F289"/>
    <mergeCell ref="E241:F241"/>
    <mergeCell ref="A239:D239"/>
    <mergeCell ref="E272:F272"/>
    <mergeCell ref="E273:F273"/>
    <mergeCell ref="E274:F274"/>
    <mergeCell ref="E264:F264"/>
    <mergeCell ref="E265:F265"/>
    <mergeCell ref="E266:F266"/>
    <mergeCell ref="A251:D251"/>
    <mergeCell ref="A246:D246"/>
    <mergeCell ref="A247:D247"/>
    <mergeCell ref="A248:D248"/>
    <mergeCell ref="A249:D249"/>
    <mergeCell ref="A250:D250"/>
    <mergeCell ref="A243:J243"/>
    <mergeCell ref="A328:C328"/>
    <mergeCell ref="A326:C326"/>
    <mergeCell ref="A327:C327"/>
    <mergeCell ref="A322:C322"/>
    <mergeCell ref="A323:C323"/>
    <mergeCell ref="A324:C324"/>
    <mergeCell ref="A316:C316"/>
    <mergeCell ref="A317:C317"/>
    <mergeCell ref="A318:C318"/>
    <mergeCell ref="A321:C321"/>
    <mergeCell ref="A320:C320"/>
    <mergeCell ref="G321:I321"/>
    <mergeCell ref="G329:I329"/>
    <mergeCell ref="G325:I325"/>
    <mergeCell ref="G322:I322"/>
    <mergeCell ref="G328:I328"/>
    <mergeCell ref="G323:I323"/>
    <mergeCell ref="G324:I324"/>
    <mergeCell ref="G326:I326"/>
    <mergeCell ref="G327:I327"/>
    <mergeCell ref="A189:E189"/>
    <mergeCell ref="G320:I320"/>
    <mergeCell ref="H310:I310"/>
    <mergeCell ref="G316:I316"/>
    <mergeCell ref="G318:I318"/>
    <mergeCell ref="G317:I317"/>
    <mergeCell ref="A314:C314"/>
    <mergeCell ref="A315:C315"/>
    <mergeCell ref="G314:I314"/>
    <mergeCell ref="G315:I315"/>
    <mergeCell ref="A311:I311"/>
    <mergeCell ref="E313:I313"/>
    <mergeCell ref="A304:E304"/>
    <mergeCell ref="A305:E305"/>
    <mergeCell ref="E291:F291"/>
    <mergeCell ref="A299:E299"/>
    <mergeCell ref="A300:E300"/>
    <mergeCell ref="A301:E301"/>
    <mergeCell ref="B296:C296"/>
    <mergeCell ref="E281:F281"/>
    <mergeCell ref="E282:F282"/>
    <mergeCell ref="E285:F285"/>
    <mergeCell ref="E286:F286"/>
    <mergeCell ref="A302:E302"/>
    <mergeCell ref="A212:J212"/>
    <mergeCell ref="A157:J157"/>
    <mergeCell ref="A329:C329"/>
    <mergeCell ref="A325:C325"/>
    <mergeCell ref="A242:D242"/>
    <mergeCell ref="F35:H35"/>
    <mergeCell ref="A319:C319"/>
    <mergeCell ref="G319:I319"/>
    <mergeCell ref="A240:D240"/>
    <mergeCell ref="A241:D241"/>
    <mergeCell ref="H260:I260"/>
    <mergeCell ref="A306:E306"/>
    <mergeCell ref="A307:E307"/>
    <mergeCell ref="G301:I301"/>
    <mergeCell ref="G302:I302"/>
    <mergeCell ref="G303:I303"/>
    <mergeCell ref="G304:I304"/>
    <mergeCell ref="G305:I305"/>
    <mergeCell ref="G306:I306"/>
    <mergeCell ref="G307:I307"/>
    <mergeCell ref="F173:I173"/>
    <mergeCell ref="A178:E178"/>
    <mergeCell ref="F184:I184"/>
    <mergeCell ref="A188:E188"/>
  </mergeCells>
  <phoneticPr fontId="0" type="noConversion"/>
  <conditionalFormatting sqref="A145 G145:I145">
    <cfRule type="expression" dxfId="592" priority="62" stopIfTrue="1">
      <formula>$P145="BG"</formula>
    </cfRule>
    <cfRule type="expression" dxfId="591" priority="61" stopIfTrue="1">
      <formula>$P145="B"</formula>
    </cfRule>
  </conditionalFormatting>
  <conditionalFormatting sqref="A264:A294">
    <cfRule type="expression" dxfId="590" priority="71" stopIfTrue="1">
      <formula>WEEKDAY(A264,2)&gt;5</formula>
    </cfRule>
    <cfRule type="expression" dxfId="589" priority="70" stopIfTrue="1">
      <formula>R264=1</formula>
    </cfRule>
  </conditionalFormatting>
  <conditionalFormatting sqref="A216:D216">
    <cfRule type="expression" dxfId="588" priority="52" stopIfTrue="1">
      <formula>$O216&lt;1</formula>
    </cfRule>
  </conditionalFormatting>
  <conditionalFormatting sqref="A217:D217">
    <cfRule type="expression" dxfId="587" priority="51">
      <formula>$S$216=9</formula>
    </cfRule>
  </conditionalFormatting>
  <conditionalFormatting sqref="A217:D225 E213:I220 E222:I230 A234:I240 F154:J154 A155 F155:I155 A202:I211 A212 A213:D215 E221 G221:I221 E231 G231:I232 A241:E241 G241:I241 A242:I242 A244:I258 A315:I329">
    <cfRule type="expression" dxfId="586" priority="57" stopIfTrue="1">
      <formula>$O154&lt;1</formula>
    </cfRule>
  </conditionalFormatting>
  <conditionalFormatting sqref="A226:D232">
    <cfRule type="expression" dxfId="585" priority="4" stopIfTrue="1">
      <formula>$O226&lt;1</formula>
    </cfRule>
  </conditionalFormatting>
  <conditionalFormatting sqref="A227:D227">
    <cfRule type="expression" dxfId="584" priority="3">
      <formula>$S$226=9</formula>
    </cfRule>
  </conditionalFormatting>
  <conditionalFormatting sqref="A236:D236">
    <cfRule type="expression" dxfId="583" priority="44" stopIfTrue="1">
      <formula>$O236&lt;1</formula>
    </cfRule>
  </conditionalFormatting>
  <conditionalFormatting sqref="A237:D237">
    <cfRule type="expression" dxfId="582" priority="43">
      <formula>$S$216=9</formula>
    </cfRule>
  </conditionalFormatting>
  <conditionalFormatting sqref="A237:D242 A243">
    <cfRule type="expression" dxfId="581" priority="45" stopIfTrue="1">
      <formula>$O237&lt;1</formula>
    </cfRule>
  </conditionalFormatting>
  <conditionalFormatting sqref="A190:E191">
    <cfRule type="expression" dxfId="580" priority="329" stopIfTrue="1">
      <formula>$O188&lt;1</formula>
    </cfRule>
  </conditionalFormatting>
  <conditionalFormatting sqref="A192:E193">
    <cfRule type="expression" dxfId="579" priority="439" stopIfTrue="1">
      <formula>$O189&lt;1</formula>
    </cfRule>
  </conditionalFormatting>
  <conditionalFormatting sqref="A194:E198">
    <cfRule type="expression" dxfId="578" priority="53" stopIfTrue="1">
      <formula>$O193&lt;1</formula>
    </cfRule>
  </conditionalFormatting>
  <conditionalFormatting sqref="A28:I30">
    <cfRule type="expression" dxfId="577" priority="79" stopIfTrue="1">
      <formula>NOT(VLOOKUP($I$25,A_JaNein_Auswahl,2)=2)</formula>
    </cfRule>
  </conditionalFormatting>
  <conditionalFormatting sqref="A28:I45">
    <cfRule type="expression" dxfId="576" priority="80" stopIfTrue="1">
      <formula>NOT($Q$24)</formula>
    </cfRule>
  </conditionalFormatting>
  <conditionalFormatting sqref="A34:I34">
    <cfRule type="expression" dxfId="575" priority="85" stopIfTrue="1">
      <formula>NOT($Q$213)</formula>
    </cfRule>
  </conditionalFormatting>
  <conditionalFormatting sqref="A35:I35">
    <cfRule type="expression" dxfId="574" priority="87" stopIfTrue="1">
      <formula>NOT($Q$213)</formula>
    </cfRule>
  </conditionalFormatting>
  <conditionalFormatting sqref="A63:J144">
    <cfRule type="expression" dxfId="573" priority="11" stopIfTrue="1">
      <formula>$P63="BG"</formula>
    </cfRule>
    <cfRule type="expression" dxfId="572" priority="10" stopIfTrue="1">
      <formula>$P63="B"</formula>
    </cfRule>
    <cfRule type="expression" dxfId="571" priority="12" stopIfTrue="1">
      <formula>$P63="K"</formula>
    </cfRule>
  </conditionalFormatting>
  <conditionalFormatting sqref="B264:D294">
    <cfRule type="expression" dxfId="570" priority="295" stopIfTrue="1">
      <formula>AND($AE264&gt;3,$BU264=1)</formula>
    </cfRule>
  </conditionalFormatting>
  <conditionalFormatting sqref="B264:F294">
    <cfRule type="expression" dxfId="569" priority="28" stopIfTrue="1">
      <formula>$AE264=3</formula>
    </cfRule>
    <cfRule type="expression" dxfId="568" priority="30" stopIfTrue="1">
      <formula>OR($AE264=1,$AE264=2,$R264=1)</formula>
    </cfRule>
  </conditionalFormatting>
  <conditionalFormatting sqref="E154:E155">
    <cfRule type="expression" dxfId="567" priority="5" stopIfTrue="1">
      <formula>$O154&lt;1</formula>
    </cfRule>
  </conditionalFormatting>
  <conditionalFormatting sqref="E313">
    <cfRule type="expression" dxfId="566" priority="6">
      <formula>OR(D315="Ja",D315="Oui",D316="Ja",D316="Oui")</formula>
    </cfRule>
  </conditionalFormatting>
  <conditionalFormatting sqref="E264:F294">
    <cfRule type="expression" dxfId="565" priority="29" stopIfTrue="1">
      <formula>OR($AE264&gt;3,$AC264=1)</formula>
    </cfRule>
  </conditionalFormatting>
  <conditionalFormatting sqref="F161">
    <cfRule type="expression" dxfId="564" priority="2" stopIfTrue="1">
      <formula>$O161&lt;1</formula>
    </cfRule>
    <cfRule type="expression" dxfId="563" priority="1">
      <formula>S216=9</formula>
    </cfRule>
  </conditionalFormatting>
  <conditionalFormatting sqref="F161:F162">
    <cfRule type="expression" dxfId="562" priority="25">
      <formula>S216=9</formula>
    </cfRule>
  </conditionalFormatting>
  <conditionalFormatting sqref="F172">
    <cfRule type="expression" dxfId="561" priority="24" stopIfTrue="1">
      <formula>$O172&lt;1</formula>
    </cfRule>
    <cfRule type="expression" dxfId="560" priority="23">
      <formula>S225=9</formula>
    </cfRule>
  </conditionalFormatting>
  <conditionalFormatting sqref="F173">
    <cfRule type="expression" dxfId="559" priority="19" stopIfTrue="1">
      <formula>$O173&lt;1</formula>
    </cfRule>
    <cfRule type="expression" dxfId="558" priority="18">
      <formula>S229=9</formula>
    </cfRule>
  </conditionalFormatting>
  <conditionalFormatting sqref="F183">
    <cfRule type="expression" dxfId="557" priority="21">
      <formula>S236=9</formula>
    </cfRule>
  </conditionalFormatting>
  <conditionalFormatting sqref="F184">
    <cfRule type="expression" dxfId="556" priority="17" stopIfTrue="1">
      <formula>$O184&lt;1</formula>
    </cfRule>
    <cfRule type="expression" dxfId="555" priority="16">
      <formula>S241=9</formula>
    </cfRule>
  </conditionalFormatting>
  <conditionalFormatting sqref="F158:I161 F162 F163:I172 A158:E168 A170:E179 A181:E189 F185:I198">
    <cfRule type="expression" dxfId="554" priority="26" stopIfTrue="1">
      <formula>$O158&lt;1</formula>
    </cfRule>
  </conditionalFormatting>
  <conditionalFormatting sqref="F174:I182">
    <cfRule type="expression" dxfId="553" priority="20" stopIfTrue="1">
      <formula>$O174&lt;1</formula>
    </cfRule>
  </conditionalFormatting>
  <conditionalFormatting sqref="F183:I183 E232:F232">
    <cfRule type="expression" dxfId="552" priority="22" stopIfTrue="1">
      <formula>$O184&lt;1</formula>
    </cfRule>
  </conditionalFormatting>
  <conditionalFormatting sqref="F315:I329">
    <cfRule type="expression" dxfId="551" priority="411" stopIfTrue="1">
      <formula>NOT(VLOOKUP($D315,A_JaNein_Auswahl,2,0)=1)</formula>
    </cfRule>
  </conditionalFormatting>
  <conditionalFormatting sqref="G217:I217">
    <cfRule type="expression" dxfId="550" priority="50">
      <formula>$O217&gt;1</formula>
    </cfRule>
  </conditionalFormatting>
  <conditionalFormatting sqref="G227:I227">
    <cfRule type="expression" dxfId="549" priority="46">
      <formula>$O227&gt;1</formula>
    </cfRule>
  </conditionalFormatting>
  <conditionalFormatting sqref="G237:I237">
    <cfRule type="expression" dxfId="548" priority="42">
      <formula>$O237&gt;1</formula>
    </cfRule>
  </conditionalFormatting>
  <conditionalFormatting sqref="G264:I294">
    <cfRule type="expression" dxfId="547" priority="14" stopIfTrue="1">
      <formula>OR($AE264=1,$AE264=2,$R264=1)</formula>
    </cfRule>
  </conditionalFormatting>
  <conditionalFormatting sqref="G295:I295">
    <cfRule type="expression" dxfId="546" priority="15" stopIfTrue="1">
      <formula>SUM($G$295:$I$295)&gt;0</formula>
    </cfRule>
  </conditionalFormatting>
  <conditionalFormatting sqref="I23:I24 A23:H27 I26:I27">
    <cfRule type="expression" dxfId="545" priority="81" stopIfTrue="1">
      <formula>NOT($Q$24)</formula>
    </cfRule>
  </conditionalFormatting>
  <conditionalFormatting sqref="I25">
    <cfRule type="expression" dxfId="544" priority="88" stopIfTrue="1">
      <formula>NOT($Q$24)</formula>
    </cfRule>
  </conditionalFormatting>
  <conditionalFormatting sqref="I32">
    <cfRule type="expression" dxfId="543" priority="83" stopIfTrue="1">
      <formula>NOT($Q$32)</formula>
    </cfRule>
  </conditionalFormatting>
  <conditionalFormatting sqref="I37">
    <cfRule type="expression" dxfId="542" priority="92" stopIfTrue="1">
      <formula>NOT($O$37=1)</formula>
    </cfRule>
  </conditionalFormatting>
  <conditionalFormatting sqref="I38">
    <cfRule type="expression" dxfId="541" priority="90" stopIfTrue="1">
      <formula>NOT($O$38=1)</formula>
    </cfRule>
  </conditionalFormatting>
  <conditionalFormatting sqref="J262:J295">
    <cfRule type="expression" dxfId="540" priority="78" stopIfTrue="1">
      <formula>SUM($G$295:$I$295)&gt;0</formula>
    </cfRule>
  </conditionalFormatting>
  <conditionalFormatting sqref="U264:AE294 BI264:BS294 CA264:CD294 CF264:CF294 CO264:CY294 DA264:DD294 CE264:CE295">
    <cfRule type="cellIs" dxfId="539" priority="74" stopIfTrue="1" operator="equal">
      <formula>0</formula>
    </cfRule>
  </conditionalFormatting>
  <conditionalFormatting sqref="AF264:AF294">
    <cfRule type="expression" dxfId="538" priority="54" stopIfTrue="1">
      <formula>$AE264=3</formula>
    </cfRule>
    <cfRule type="expression" dxfId="537" priority="56" stopIfTrue="1">
      <formula>$AE264&gt;3</formula>
    </cfRule>
    <cfRule type="expression" dxfId="536" priority="55" stopIfTrue="1">
      <formula>OR($AE264=1,$AE264=2)</formula>
    </cfRule>
  </conditionalFormatting>
  <conditionalFormatting sqref="DJ263:DK294 DI264:DI294 DL264:DM294">
    <cfRule type="cellIs" dxfId="535" priority="27" stopIfTrue="1" operator="equal">
      <formula>0</formula>
    </cfRule>
  </conditionalFormatting>
  <dataValidations count="11">
    <dataValidation type="date" allowBlank="1" showInputMessage="1" showErrorMessage="1" sqref="I232" xr:uid="{00000000-0002-0000-0400-000001000000}">
      <formula1>I231</formula1>
      <formula2>I226</formula2>
    </dataValidation>
    <dataValidation type="whole" allowBlank="1" showInputMessage="1" showErrorMessage="1" sqref="D264:D294" xr:uid="{00000000-0002-0000-0400-000002000000}">
      <formula1>0</formula1>
      <formula2>S264</formula2>
    </dataValidation>
    <dataValidation type="date" operator="greaterThanOrEqual" allowBlank="1" showInputMessage="1" showErrorMessage="1" sqref="I225 I215 I235" xr:uid="{00000000-0002-0000-0400-000003000000}">
      <formula1>I214</formula1>
    </dataValidation>
    <dataValidation type="date" operator="greaterThanOrEqual" allowBlank="1" showInputMessage="1" showErrorMessage="1" sqref="I23" xr:uid="{00000000-0002-0000-0400-000004000000}">
      <formula1>H21</formula1>
    </dataValidation>
    <dataValidation type="list" allowBlank="1" showInputMessage="1" showErrorMessage="1" sqref="AI25:AI26 I25:I26 D315:D329" xr:uid="{00000000-0002-0000-0400-000005000000}">
      <formula1>L_JaNein</formula1>
    </dataValidation>
    <dataValidation type="textLength" allowBlank="1" showInputMessage="1" showErrorMessage="1" sqref="G315:I329" xr:uid="{00000000-0002-0000-0400-000006000000}">
      <formula1>0</formula1>
      <formula2>32</formula2>
    </dataValidation>
    <dataValidation type="list" allowBlank="1" showInputMessage="1" showErrorMessage="1" sqref="G228 G218 G238" xr:uid="{00000000-0002-0000-0400-000007000000}">
      <formula1>L_Rückfall</formula1>
    </dataValidation>
    <dataValidation type="list" allowBlank="1" showInputMessage="1" showErrorMessage="1" sqref="G216 G226 G236" xr:uid="{00000000-0002-0000-0400-000008000000}">
      <formula1>L_Arbeitsunfähigkeit_Grund</formula1>
    </dataValidation>
    <dataValidation type="list" allowBlank="1" showInputMessage="1" showErrorMessage="1" sqref="G227:I227 G217:I217 G237:I237" xr:uid="{00000000-0002-0000-0400-000009000000}">
      <formula1>L_ArtUnfall</formula1>
    </dataValidation>
    <dataValidation type="textLength" allowBlank="1" showInputMessage="1" showErrorMessage="1" sqref="F40:I40 F44:I45 F42:I42" xr:uid="{00000000-0002-0000-0400-00000A000000}">
      <formula1>0</formula1>
      <formula2>40</formula2>
    </dataValidation>
    <dataValidation type="custom" allowBlank="1" showInputMessage="1" showErrorMessage="1" sqref="E264:F294" xr:uid="{00000000-0002-0000-0400-00000B000000}">
      <formula1>NOT(U264=1)</formula1>
    </dataValidation>
  </dataValidations>
  <hyperlinks>
    <hyperlink ref="B13:I13" location="Linkziel_M_Eingaben" display="Monatlliche Abrechnung: Geben Sie hier die Informationen ein, um die Lohnabrechnung für diesen Monat zu erstellen" xr:uid="{00000000-0004-0000-0400-000000000000}"/>
    <hyperlink ref="B18:I18" location="Linkziel_M_Korrekturen" display="Korrekturen: Wenn Sie Korrekturen zu einer früheren Lohnabrechnung machen müssen, können Sie diese hier eingeben" xr:uid="{00000000-0004-0000-0400-000001000000}"/>
    <hyperlink ref="B17:I17" location="Linkziel_M_Einsatzrapport" display="Einsatzrapport: Wenn Sie einen Einsatzrapport führen wollen, können Sie hier die Arbeitszeit pro Tag erfassen" xr:uid="{00000000-0004-0000-04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400-000003000000}"/>
    <hyperlink ref="B15:I15" location="Linkziel_M_ASTeK" display="Verrechnung Assistenzbeitrag: Hier finden Sie die Daten für den Übertrag ins ASTeK (bzw. für das Rechnungsformular Assistenzbeitrag, falls Sie das ASTeK nicht verwenden)" xr:uid="{00000000-0004-0000-0400-000004000000}"/>
    <hyperlink ref="B14:I14" location="Linkziel_M_Lohnabrechnung" display="Lohnabrechnung zum Ausdrucken" xr:uid="{00000000-0004-0000-0400-000005000000}"/>
    <hyperlink ref="A5" location="Linkziel_M_Eingaben" display="Linkziel_M_Eingaben" xr:uid="{00000000-0004-0000-0400-000006000000}"/>
    <hyperlink ref="A6" location="Linkziel_M_Lohnabrechnung" display="Linkziel_M_Lohnabrechnung" xr:uid="{00000000-0004-0000-0400-000007000000}"/>
    <hyperlink ref="A7" location="Linkziel_M_ASTeK" display="Linkziel_M_ASTeK" xr:uid="{00000000-0004-0000-0400-000008000000}"/>
    <hyperlink ref="F5" location="Linkziel_M_Abwesenheiten" display="Linkziel_M_Abwesenheiten" xr:uid="{00000000-0004-0000-0400-000009000000}"/>
    <hyperlink ref="F6" location="Linkziel_M_Einsatzrapport" display="Linkziel_M_Einsatzrapport" xr:uid="{00000000-0004-0000-0400-00000A000000}"/>
    <hyperlink ref="F7" location="Linkziel_M_Korrekturen" display="Linkziel_M_Korrekturen" xr:uid="{00000000-0004-0000-0400-00000B000000}"/>
    <hyperlink ref="A16" location="Linkziel_M_Abwesenheiten" display="Linkziel_M_Abwesenheiten" xr:uid="{00000000-0004-0000-0400-00000C000000}"/>
    <hyperlink ref="A17" location="Linkziel_M_Einsatzrapport" display="Linkziel_M_Einsatzrapport" xr:uid="{00000000-0004-0000-0400-00000D000000}"/>
    <hyperlink ref="A18" location="Linkziel_M_Korrekturen" display="Linkziel_M_Korrekturen" xr:uid="{00000000-0004-0000-0400-00000E000000}"/>
    <hyperlink ref="A13" location="Linkziel_M_Eingaben" display="Linkziel_M_Eingaben" xr:uid="{00000000-0004-0000-0400-00000F000000}"/>
    <hyperlink ref="A14" location="Linkziel_M_Lohnabrechnung" display="Linkziel_M_Lohnabrechnung" xr:uid="{00000000-0004-0000-0400-000010000000}"/>
    <hyperlink ref="A15" location="Linkziel_M_ASTeK" display="Linkziel_M_ASTeK" xr:uid="{00000000-0004-0000-0400-000011000000}"/>
    <hyperlink ref="A25:G25" location="Linkziel_M_Einsatzrapport" display="Linkziel_M_Einsatzrapport" xr:uid="{00000000-0004-0000-0400-000012000000}"/>
    <hyperlink ref="H1:I1" location="Intro!A22" display="zurück zum Intro" xr:uid="{00000000-0004-0000-04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9" man="1"/>
    <brk id="297" max="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April</v>
      </c>
      <c r="H1" s="450" t="str">
        <f ca="1">INDIRECT(ADDRESS(ROW()+N_Offset_M,COLUMN()+(N_SpracheAuswahl)*26,,,"Text"))</f>
        <v>zurück zum Intro</v>
      </c>
      <c r="I1" s="449"/>
      <c r="O1" s="56" t="s">
        <v>97</v>
      </c>
      <c r="P1" s="309">
        <f>DATE('  B  '!C13,4,1)</f>
        <v>45383</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30</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45383</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April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45383</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I153" s="250"/>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April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45383</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03 '!AK295</f>
        <v>0</v>
      </c>
      <c r="AL263" s="137"/>
      <c r="AN263" s="137">
        <f>IF(N_Kündigungsfrist_Beginn=AH264,0,1)</f>
        <v>1</v>
      </c>
      <c r="AO263" s="55"/>
      <c r="AP263" s="233">
        <f ca="1">' 03 '!AP295</f>
        <v>0</v>
      </c>
      <c r="AR263" s="234">
        <f ca="1">' 03 '!AR295</f>
        <v>0</v>
      </c>
      <c r="AT263" s="355">
        <f ca="1">' 03 '!AT295+N318</f>
        <v>28</v>
      </c>
      <c r="AV263" s="246">
        <f ca="1">' 03 '!AV295</f>
        <v>0</v>
      </c>
      <c r="AW263" s="245"/>
      <c r="AY263" s="239"/>
      <c r="BA263" s="222"/>
      <c r="BB263" s="249">
        <f ca="1">' 03 '!BB295</f>
        <v>0</v>
      </c>
      <c r="BC263" s="245"/>
      <c r="BE263" s="252">
        <f ca="1">' 03 '!BE295</f>
        <v>0</v>
      </c>
      <c r="BG263" s="252">
        <f ca="1">' 03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45383</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45383</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91</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183</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45384</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45384</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91</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183</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45385</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45385</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91</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183</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45386</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45386</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91</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183</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45387</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45387</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91</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183</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45388</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45388</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91</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183</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45389</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45389</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91</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183</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45390</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45390</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91</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183</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45391</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45391</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91</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183</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45392</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45392</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91</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183</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45393</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45393</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91</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183</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45394</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45394</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91</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183</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45395</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45395</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91</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183</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45396</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45396</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91</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183</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45397</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45397</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91</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183</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45398</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45398</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91</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183</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45399</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45399</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91</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183</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45400</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45400</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91</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183</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45401</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45401</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91</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183</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45402</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45402</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91</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183</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45403</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45403</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91</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183</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45404</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45404</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91</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183</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45405</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45405</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91</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183</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45406</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45406</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91</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183</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45407</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45407</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91</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183</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45408</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45408</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91</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183</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45409</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45409</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91</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183</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45410</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45410</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91</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183</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45411</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45411</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91</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183</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45412</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45412</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91</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183</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45413</v>
      </c>
      <c r="B294" s="154"/>
      <c r="C294" s="154"/>
      <c r="D294" s="154"/>
      <c r="E294" s="875" t="str">
        <f t="shared" ca="1" si="57"/>
        <v/>
      </c>
      <c r="F294" s="876"/>
      <c r="G294" s="667">
        <f t="shared" ca="1" si="114"/>
        <v>0</v>
      </c>
      <c r="H294" s="667">
        <f t="shared" ca="1" si="58"/>
        <v>0</v>
      </c>
      <c r="I294" s="667">
        <f t="shared" ca="1" si="59"/>
        <v>0</v>
      </c>
      <c r="P294" s="151">
        <f t="shared" si="60"/>
        <v>125</v>
      </c>
      <c r="R294" s="55">
        <f t="shared" si="61"/>
        <v>1</v>
      </c>
      <c r="S294" s="55">
        <f t="shared" si="62"/>
        <v>0</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45413</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90</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184</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03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45383</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45383</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3m3g7PwDYmdzVNdmsnHo+UDvri5OJkBc1+Ms7c8czqegOV4ZAq3eOUT0MjCu1XTgFdcoATiP+o63Uhkb/JUi3Q==" saltValue="CGb3fKpmHjRo2HXVafj6Og==" spinCount="100000" sheet="1" objects="1" scenarios="1"/>
  <mergeCells count="311">
    <mergeCell ref="A243:J243"/>
    <mergeCell ref="A240:D240"/>
    <mergeCell ref="A241:D241"/>
    <mergeCell ref="A155:D155"/>
    <mergeCell ref="A129:G129"/>
    <mergeCell ref="A130:G130"/>
    <mergeCell ref="A131:G131"/>
    <mergeCell ref="A141:G141"/>
    <mergeCell ref="A142:G142"/>
    <mergeCell ref="A143:G143"/>
    <mergeCell ref="A144:G144"/>
    <mergeCell ref="A132:G132"/>
    <mergeCell ref="A133:G133"/>
    <mergeCell ref="A134:G134"/>
    <mergeCell ref="A135:G135"/>
    <mergeCell ref="A136:G136"/>
    <mergeCell ref="A137:G137"/>
    <mergeCell ref="A138:G138"/>
    <mergeCell ref="A139:G139"/>
    <mergeCell ref="A140:G140"/>
    <mergeCell ref="A152:D152"/>
    <mergeCell ref="A151:D151"/>
    <mergeCell ref="G240:H240"/>
    <mergeCell ref="G226:I226"/>
    <mergeCell ref="A114:G114"/>
    <mergeCell ref="A115:G115"/>
    <mergeCell ref="A116:G116"/>
    <mergeCell ref="A117:G117"/>
    <mergeCell ref="A118:G118"/>
    <mergeCell ref="A119:G119"/>
    <mergeCell ref="A120:G120"/>
    <mergeCell ref="E241:F241"/>
    <mergeCell ref="A121:G121"/>
    <mergeCell ref="A122:G122"/>
    <mergeCell ref="A123:G123"/>
    <mergeCell ref="A124:G124"/>
    <mergeCell ref="A125:G125"/>
    <mergeCell ref="A126:G126"/>
    <mergeCell ref="A127:G127"/>
    <mergeCell ref="A128:G128"/>
    <mergeCell ref="A154:D154"/>
    <mergeCell ref="G236:I236"/>
    <mergeCell ref="G238:I238"/>
    <mergeCell ref="E221:F221"/>
    <mergeCell ref="A219:D219"/>
    <mergeCell ref="F173:I173"/>
    <mergeCell ref="A176:E176"/>
    <mergeCell ref="A177:E177"/>
    <mergeCell ref="A105:G105"/>
    <mergeCell ref="A106:G106"/>
    <mergeCell ref="A107:G107"/>
    <mergeCell ref="A108:G108"/>
    <mergeCell ref="A109:G109"/>
    <mergeCell ref="A110:G110"/>
    <mergeCell ref="A111:G111"/>
    <mergeCell ref="A112:G112"/>
    <mergeCell ref="A113:G113"/>
    <mergeCell ref="G328:I328"/>
    <mergeCell ref="G302:I302"/>
    <mergeCell ref="E275:F275"/>
    <mergeCell ref="G316:I316"/>
    <mergeCell ref="A80:G80"/>
    <mergeCell ref="A81:G81"/>
    <mergeCell ref="A82:G82"/>
    <mergeCell ref="A83:G83"/>
    <mergeCell ref="A84:G84"/>
    <mergeCell ref="A85:G85"/>
    <mergeCell ref="A86:G86"/>
    <mergeCell ref="A87:G87"/>
    <mergeCell ref="A88:G88"/>
    <mergeCell ref="A89:G89"/>
    <mergeCell ref="A90:G90"/>
    <mergeCell ref="A91:G91"/>
    <mergeCell ref="A92:G92"/>
    <mergeCell ref="A93:G93"/>
    <mergeCell ref="A94:G94"/>
    <mergeCell ref="A95:G95"/>
    <mergeCell ref="A96:G96"/>
    <mergeCell ref="A97:G97"/>
    <mergeCell ref="A98:G98"/>
    <mergeCell ref="A99:G99"/>
    <mergeCell ref="E290:F290"/>
    <mergeCell ref="E291:F291"/>
    <mergeCell ref="E292:F292"/>
    <mergeCell ref="G317:I317"/>
    <mergeCell ref="A253:D253"/>
    <mergeCell ref="B261:I261"/>
    <mergeCell ref="G324:I324"/>
    <mergeCell ref="G329:I329"/>
    <mergeCell ref="G325:I325"/>
    <mergeCell ref="G327:I327"/>
    <mergeCell ref="E264:F264"/>
    <mergeCell ref="A311:I311"/>
    <mergeCell ref="A329:C329"/>
    <mergeCell ref="A325:C325"/>
    <mergeCell ref="A328:C328"/>
    <mergeCell ref="A327:C327"/>
    <mergeCell ref="A316:C316"/>
    <mergeCell ref="A317:C317"/>
    <mergeCell ref="A318:C318"/>
    <mergeCell ref="A321:C321"/>
    <mergeCell ref="G322:I322"/>
    <mergeCell ref="A322:C322"/>
    <mergeCell ref="A323:C323"/>
    <mergeCell ref="A324:C324"/>
    <mergeCell ref="E278:F278"/>
    <mergeCell ref="E279:F279"/>
    <mergeCell ref="E280:F280"/>
    <mergeCell ref="E281:F281"/>
    <mergeCell ref="A331:I331"/>
    <mergeCell ref="E276:F276"/>
    <mergeCell ref="E265:F265"/>
    <mergeCell ref="E266:F266"/>
    <mergeCell ref="E267:F267"/>
    <mergeCell ref="E268:F268"/>
    <mergeCell ref="E269:F269"/>
    <mergeCell ref="E270:F270"/>
    <mergeCell ref="G318:I318"/>
    <mergeCell ref="G321:I321"/>
    <mergeCell ref="G319:I319"/>
    <mergeCell ref="G320:I320"/>
    <mergeCell ref="G326:I326"/>
    <mergeCell ref="A303:E303"/>
    <mergeCell ref="A304:E304"/>
    <mergeCell ref="G301:I301"/>
    <mergeCell ref="E282:F282"/>
    <mergeCell ref="E271:F271"/>
    <mergeCell ref="E272:F272"/>
    <mergeCell ref="E289:F289"/>
    <mergeCell ref="A232:D232"/>
    <mergeCell ref="A234:D234"/>
    <mergeCell ref="A235:D235"/>
    <mergeCell ref="A230:D230"/>
    <mergeCell ref="A231:D231"/>
    <mergeCell ref="A237:D237"/>
    <mergeCell ref="A236:D236"/>
    <mergeCell ref="A238:D238"/>
    <mergeCell ref="E231:F231"/>
    <mergeCell ref="A307:E307"/>
    <mergeCell ref="G306:I306"/>
    <mergeCell ref="G307:I307"/>
    <mergeCell ref="A319:C319"/>
    <mergeCell ref="A320:C320"/>
    <mergeCell ref="G305:I305"/>
    <mergeCell ref="A242:D242"/>
    <mergeCell ref="H260:I260"/>
    <mergeCell ref="A252:D252"/>
    <mergeCell ref="E273:F273"/>
    <mergeCell ref="E274:F274"/>
    <mergeCell ref="E262:F262"/>
    <mergeCell ref="A246:D246"/>
    <mergeCell ref="A247:D247"/>
    <mergeCell ref="A248:D248"/>
    <mergeCell ref="A249:D249"/>
    <mergeCell ref="A250:D250"/>
    <mergeCell ref="A251:D251"/>
    <mergeCell ref="G303:I303"/>
    <mergeCell ref="G304:I304"/>
    <mergeCell ref="A302:E302"/>
    <mergeCell ref="E293:F293"/>
    <mergeCell ref="E294:F294"/>
    <mergeCell ref="E277:F277"/>
    <mergeCell ref="G228:I228"/>
    <mergeCell ref="G220:H220"/>
    <mergeCell ref="G230:H230"/>
    <mergeCell ref="G237:I237"/>
    <mergeCell ref="A239:D239"/>
    <mergeCell ref="A229:D229"/>
    <mergeCell ref="G323:I323"/>
    <mergeCell ref="A326:C326"/>
    <mergeCell ref="A301:E301"/>
    <mergeCell ref="B296:C296"/>
    <mergeCell ref="E283:F283"/>
    <mergeCell ref="E284:F284"/>
    <mergeCell ref="E285:F285"/>
    <mergeCell ref="E286:F286"/>
    <mergeCell ref="E287:F287"/>
    <mergeCell ref="E288:F288"/>
    <mergeCell ref="A305:E305"/>
    <mergeCell ref="A299:E299"/>
    <mergeCell ref="A300:E300"/>
    <mergeCell ref="A314:C314"/>
    <mergeCell ref="A315:C315"/>
    <mergeCell ref="G314:I314"/>
    <mergeCell ref="G315:I315"/>
    <mergeCell ref="A306:E306"/>
    <mergeCell ref="A26:I26"/>
    <mergeCell ref="E28:F28"/>
    <mergeCell ref="E27:F27"/>
    <mergeCell ref="E29:F29"/>
    <mergeCell ref="A25:H25"/>
    <mergeCell ref="F34:H34"/>
    <mergeCell ref="E313:I313"/>
    <mergeCell ref="H310:I310"/>
    <mergeCell ref="A207:D207"/>
    <mergeCell ref="A214:D214"/>
    <mergeCell ref="A210:D210"/>
    <mergeCell ref="A211:D211"/>
    <mergeCell ref="A221:D221"/>
    <mergeCell ref="A228:D228"/>
    <mergeCell ref="A208:D208"/>
    <mergeCell ref="G217:I217"/>
    <mergeCell ref="A227:D227"/>
    <mergeCell ref="G227:I227"/>
    <mergeCell ref="A225:D225"/>
    <mergeCell ref="A226:D226"/>
    <mergeCell ref="A222:D222"/>
    <mergeCell ref="A224:D224"/>
    <mergeCell ref="A220:D220"/>
    <mergeCell ref="G218:I218"/>
    <mergeCell ref="A31:D31"/>
    <mergeCell ref="A41:D41"/>
    <mergeCell ref="E41:F41"/>
    <mergeCell ref="A39:D39"/>
    <mergeCell ref="A36:D36"/>
    <mergeCell ref="E31:F31"/>
    <mergeCell ref="E30:F30"/>
    <mergeCell ref="A34:D34"/>
    <mergeCell ref="B13:I13"/>
    <mergeCell ref="B14:I14"/>
    <mergeCell ref="B15:I15"/>
    <mergeCell ref="B16:I16"/>
    <mergeCell ref="B17:I17"/>
    <mergeCell ref="B18:I18"/>
    <mergeCell ref="F40:I40"/>
    <mergeCell ref="A32:D32"/>
    <mergeCell ref="A33:D33"/>
    <mergeCell ref="F32:H32"/>
    <mergeCell ref="F33:H33"/>
    <mergeCell ref="A27:D27"/>
    <mergeCell ref="A29:D29"/>
    <mergeCell ref="A30:D30"/>
    <mergeCell ref="H21:I21"/>
    <mergeCell ref="A28:D28"/>
    <mergeCell ref="A64:G64"/>
    <mergeCell ref="A65:G65"/>
    <mergeCell ref="A66:G66"/>
    <mergeCell ref="A67:G67"/>
    <mergeCell ref="A68:G68"/>
    <mergeCell ref="A69:G69"/>
    <mergeCell ref="A70:G70"/>
    <mergeCell ref="A35:D35"/>
    <mergeCell ref="F35:H35"/>
    <mergeCell ref="A43:D43"/>
    <mergeCell ref="E43:H43"/>
    <mergeCell ref="A74:G74"/>
    <mergeCell ref="A75:G75"/>
    <mergeCell ref="A76:G76"/>
    <mergeCell ref="A77:G77"/>
    <mergeCell ref="A78:G78"/>
    <mergeCell ref="A180:E180"/>
    <mergeCell ref="A181:E181"/>
    <mergeCell ref="A79:G79"/>
    <mergeCell ref="A42:E42"/>
    <mergeCell ref="F42:I42"/>
    <mergeCell ref="A174:E174"/>
    <mergeCell ref="A175:E175"/>
    <mergeCell ref="A45:E45"/>
    <mergeCell ref="F44:I44"/>
    <mergeCell ref="F45:I45"/>
    <mergeCell ref="A149:I149"/>
    <mergeCell ref="A148:I148"/>
    <mergeCell ref="H147:I147"/>
    <mergeCell ref="A44:E44"/>
    <mergeCell ref="A100:G100"/>
    <mergeCell ref="A101:G101"/>
    <mergeCell ref="A102:G102"/>
    <mergeCell ref="A103:G103"/>
    <mergeCell ref="A104:G104"/>
    <mergeCell ref="A157:J157"/>
    <mergeCell ref="F184:I184"/>
    <mergeCell ref="A188:E188"/>
    <mergeCell ref="A189:E189"/>
    <mergeCell ref="A158:E158"/>
    <mergeCell ref="A159:E159"/>
    <mergeCell ref="A160:E160"/>
    <mergeCell ref="A161:E161"/>
    <mergeCell ref="A71:G71"/>
    <mergeCell ref="A183:E183"/>
    <mergeCell ref="A164:E164"/>
    <mergeCell ref="A165:E165"/>
    <mergeCell ref="A166:E166"/>
    <mergeCell ref="A169:E169"/>
    <mergeCell ref="A170:E170"/>
    <mergeCell ref="A171:E171"/>
    <mergeCell ref="A172:E172"/>
    <mergeCell ref="A173:E173"/>
    <mergeCell ref="A167:E167"/>
    <mergeCell ref="A162:E162"/>
    <mergeCell ref="A163:E163"/>
    <mergeCell ref="A178:E178"/>
    <mergeCell ref="A72:G72"/>
    <mergeCell ref="A73:G73"/>
    <mergeCell ref="A218:D218"/>
    <mergeCell ref="F162:I162"/>
    <mergeCell ref="A212:J212"/>
    <mergeCell ref="A184:E184"/>
    <mergeCell ref="A202:D202"/>
    <mergeCell ref="A204:D204"/>
    <mergeCell ref="A206:D206"/>
    <mergeCell ref="A205:D205"/>
    <mergeCell ref="A203:D203"/>
    <mergeCell ref="A216:D216"/>
    <mergeCell ref="A217:D217"/>
    <mergeCell ref="G216:I216"/>
    <mergeCell ref="A209:D209"/>
    <mergeCell ref="A185:E185"/>
    <mergeCell ref="A186:E186"/>
    <mergeCell ref="A187:E187"/>
    <mergeCell ref="A215:D215"/>
    <mergeCell ref="A182:E182"/>
  </mergeCells>
  <phoneticPr fontId="0" type="noConversion"/>
  <conditionalFormatting sqref="A145 G145:I145">
    <cfRule type="expression" dxfId="534" priority="62" stopIfTrue="1">
      <formula>$P145="BG"</formula>
    </cfRule>
    <cfRule type="expression" dxfId="533" priority="61" stopIfTrue="1">
      <formula>$P145="B"</formula>
    </cfRule>
  </conditionalFormatting>
  <conditionalFormatting sqref="A264:A294">
    <cfRule type="expression" dxfId="532" priority="71" stopIfTrue="1">
      <formula>WEEKDAY(A264,2)&gt;5</formula>
    </cfRule>
    <cfRule type="expression" dxfId="531" priority="70" stopIfTrue="1">
      <formula>R264=1</formula>
    </cfRule>
  </conditionalFormatting>
  <conditionalFormatting sqref="A216:D216">
    <cfRule type="expression" dxfId="530" priority="52" stopIfTrue="1">
      <formula>$O216&lt;1</formula>
    </cfRule>
  </conditionalFormatting>
  <conditionalFormatting sqref="A217:D217">
    <cfRule type="expression" dxfId="529" priority="51">
      <formula>$S$216=9</formula>
    </cfRule>
  </conditionalFormatting>
  <conditionalFormatting sqref="A217:D225 E213:I220 E222:I230 A234:I240 F154:J154 A155 F155:I155 A202:I211 A212 A213:D215 E221 G221:I221 E231 G231:I232 A241:E241 G241:I241 A242:I242 A244:I258 A315:I329">
    <cfRule type="expression" dxfId="528" priority="57" stopIfTrue="1">
      <formula>$O154&lt;1</formula>
    </cfRule>
  </conditionalFormatting>
  <conditionalFormatting sqref="A226:D232">
    <cfRule type="expression" dxfId="527" priority="4" stopIfTrue="1">
      <formula>$O226&lt;1</formula>
    </cfRule>
  </conditionalFormatting>
  <conditionalFormatting sqref="A227:D227">
    <cfRule type="expression" dxfId="526" priority="3">
      <formula>$S$226=9</formula>
    </cfRule>
  </conditionalFormatting>
  <conditionalFormatting sqref="A236:D236">
    <cfRule type="expression" dxfId="525" priority="44" stopIfTrue="1">
      <formula>$O236&lt;1</formula>
    </cfRule>
  </conditionalFormatting>
  <conditionalFormatting sqref="A237:D237">
    <cfRule type="expression" dxfId="524" priority="43">
      <formula>$S$216=9</formula>
    </cfRule>
  </conditionalFormatting>
  <conditionalFormatting sqref="A237:D242 A243">
    <cfRule type="expression" dxfId="523" priority="45" stopIfTrue="1">
      <formula>$O237&lt;1</formula>
    </cfRule>
  </conditionalFormatting>
  <conditionalFormatting sqref="A190:E191">
    <cfRule type="expression" dxfId="522" priority="327" stopIfTrue="1">
      <formula>$O188&lt;1</formula>
    </cfRule>
  </conditionalFormatting>
  <conditionalFormatting sqref="A192:E193">
    <cfRule type="expression" dxfId="521" priority="437" stopIfTrue="1">
      <formula>$O189&lt;1</formula>
    </cfRule>
  </conditionalFormatting>
  <conditionalFormatting sqref="A194:E198">
    <cfRule type="expression" dxfId="520" priority="53" stopIfTrue="1">
      <formula>$O193&lt;1</formula>
    </cfRule>
  </conditionalFormatting>
  <conditionalFormatting sqref="A28:I30">
    <cfRule type="expression" dxfId="519" priority="79" stopIfTrue="1">
      <formula>NOT(VLOOKUP($I$25,A_JaNein_Auswahl,2)=2)</formula>
    </cfRule>
  </conditionalFormatting>
  <conditionalFormatting sqref="A28:I45">
    <cfRule type="expression" dxfId="518" priority="80" stopIfTrue="1">
      <formula>NOT($Q$24)</formula>
    </cfRule>
  </conditionalFormatting>
  <conditionalFormatting sqref="A34:I34">
    <cfRule type="expression" dxfId="517" priority="85" stopIfTrue="1">
      <formula>NOT($Q$213)</formula>
    </cfRule>
  </conditionalFormatting>
  <conditionalFormatting sqref="A35:I35">
    <cfRule type="expression" dxfId="516" priority="87" stopIfTrue="1">
      <formula>NOT($Q$213)</formula>
    </cfRule>
  </conditionalFormatting>
  <conditionalFormatting sqref="A63:J144">
    <cfRule type="expression" dxfId="515" priority="11" stopIfTrue="1">
      <formula>$P63="BG"</formula>
    </cfRule>
    <cfRule type="expression" dxfId="514" priority="10" stopIfTrue="1">
      <formula>$P63="B"</formula>
    </cfRule>
    <cfRule type="expression" dxfId="513" priority="12" stopIfTrue="1">
      <formula>$P63="K"</formula>
    </cfRule>
  </conditionalFormatting>
  <conditionalFormatting sqref="B264:D294">
    <cfRule type="expression" dxfId="512" priority="277" stopIfTrue="1">
      <formula>AND($AE264&gt;3,$BU264=1)</formula>
    </cfRule>
  </conditionalFormatting>
  <conditionalFormatting sqref="B264:F294">
    <cfRule type="expression" dxfId="511" priority="28" stopIfTrue="1">
      <formula>$AE264=3</formula>
    </cfRule>
    <cfRule type="expression" dxfId="510" priority="30" stopIfTrue="1">
      <formula>OR($AE264=1,$AE264=2,$R264=1)</formula>
    </cfRule>
  </conditionalFormatting>
  <conditionalFormatting sqref="E154:E155">
    <cfRule type="expression" dxfId="509" priority="5" stopIfTrue="1">
      <formula>$O154&lt;1</formula>
    </cfRule>
  </conditionalFormatting>
  <conditionalFormatting sqref="E313">
    <cfRule type="expression" dxfId="508" priority="6">
      <formula>OR(D315="Ja",D315="Oui",D316="Ja",D316="Oui")</formula>
    </cfRule>
  </conditionalFormatting>
  <conditionalFormatting sqref="E264:F294">
    <cfRule type="expression" dxfId="507" priority="29" stopIfTrue="1">
      <formula>OR($AE264&gt;3,$AC264=1)</formula>
    </cfRule>
  </conditionalFormatting>
  <conditionalFormatting sqref="F161">
    <cfRule type="expression" dxfId="506" priority="2" stopIfTrue="1">
      <formula>$O161&lt;1</formula>
    </cfRule>
    <cfRule type="expression" dxfId="505" priority="1">
      <formula>S216=9</formula>
    </cfRule>
  </conditionalFormatting>
  <conditionalFormatting sqref="F161:F162">
    <cfRule type="expression" dxfId="504" priority="25">
      <formula>S216=9</formula>
    </cfRule>
  </conditionalFormatting>
  <conditionalFormatting sqref="F172">
    <cfRule type="expression" dxfId="503" priority="24" stopIfTrue="1">
      <formula>$O172&lt;1</formula>
    </cfRule>
    <cfRule type="expression" dxfId="502" priority="23">
      <formula>S225=9</formula>
    </cfRule>
  </conditionalFormatting>
  <conditionalFormatting sqref="F173">
    <cfRule type="expression" dxfId="501" priority="19" stopIfTrue="1">
      <formula>$O173&lt;1</formula>
    </cfRule>
    <cfRule type="expression" dxfId="500" priority="18">
      <formula>S229=9</formula>
    </cfRule>
  </conditionalFormatting>
  <conditionalFormatting sqref="F183">
    <cfRule type="expression" dxfId="499" priority="21">
      <formula>S236=9</formula>
    </cfRule>
  </conditionalFormatting>
  <conditionalFormatting sqref="F184">
    <cfRule type="expression" dxfId="498" priority="17" stopIfTrue="1">
      <formula>$O184&lt;1</formula>
    </cfRule>
    <cfRule type="expression" dxfId="497" priority="16">
      <formula>S241=9</formula>
    </cfRule>
  </conditionalFormatting>
  <conditionalFormatting sqref="F158:I161 F162 F163:I172 A158:E168 A170:E179 A181:E189 F185:I198">
    <cfRule type="expression" dxfId="496" priority="26" stopIfTrue="1">
      <formula>$O158&lt;1</formula>
    </cfRule>
  </conditionalFormatting>
  <conditionalFormatting sqref="F174:I182">
    <cfRule type="expression" dxfId="495" priority="20" stopIfTrue="1">
      <formula>$O174&lt;1</formula>
    </cfRule>
  </conditionalFormatting>
  <conditionalFormatting sqref="F183:I183 E232:F232">
    <cfRule type="expression" dxfId="494" priority="22" stopIfTrue="1">
      <formula>$O184&lt;1</formula>
    </cfRule>
  </conditionalFormatting>
  <conditionalFormatting sqref="F315:I329">
    <cfRule type="expression" dxfId="493" priority="403" stopIfTrue="1">
      <formula>NOT(VLOOKUP($D315,A_JaNein_Auswahl,2,0)=1)</formula>
    </cfRule>
  </conditionalFormatting>
  <conditionalFormatting sqref="G217:I217">
    <cfRule type="expression" dxfId="492" priority="50">
      <formula>$O217&gt;1</formula>
    </cfRule>
  </conditionalFormatting>
  <conditionalFormatting sqref="G227:I227">
    <cfRule type="expression" dxfId="491" priority="46">
      <formula>$O227&gt;1</formula>
    </cfRule>
  </conditionalFormatting>
  <conditionalFormatting sqref="G237:I237">
    <cfRule type="expression" dxfId="490" priority="42">
      <formula>$O237&gt;1</formula>
    </cfRule>
  </conditionalFormatting>
  <conditionalFormatting sqref="G264:I294">
    <cfRule type="expression" dxfId="489" priority="14" stopIfTrue="1">
      <formula>OR($AE264=1,$AE264=2,$R264=1)</formula>
    </cfRule>
  </conditionalFormatting>
  <conditionalFormatting sqref="G295:I295">
    <cfRule type="expression" dxfId="488" priority="15" stopIfTrue="1">
      <formula>SUM($G$295:$I$295)&gt;0</formula>
    </cfRule>
  </conditionalFormatting>
  <conditionalFormatting sqref="I23:I24 A23:H27 I26:I27">
    <cfRule type="expression" dxfId="487" priority="81" stopIfTrue="1">
      <formula>NOT($Q$24)</formula>
    </cfRule>
  </conditionalFormatting>
  <conditionalFormatting sqref="I25">
    <cfRule type="expression" dxfId="486" priority="88" stopIfTrue="1">
      <formula>NOT($Q$24)</formula>
    </cfRule>
  </conditionalFormatting>
  <conditionalFormatting sqref="I32">
    <cfRule type="expression" dxfId="485" priority="83" stopIfTrue="1">
      <formula>NOT($Q$32)</formula>
    </cfRule>
  </conditionalFormatting>
  <conditionalFormatting sqref="I37">
    <cfRule type="expression" dxfId="484" priority="92" stopIfTrue="1">
      <formula>NOT($O$37=1)</formula>
    </cfRule>
  </conditionalFormatting>
  <conditionalFormatting sqref="I38">
    <cfRule type="expression" dxfId="483" priority="90" stopIfTrue="1">
      <formula>NOT($O$38=1)</formula>
    </cfRule>
  </conditionalFormatting>
  <conditionalFormatting sqref="J262:J295">
    <cfRule type="expression" dxfId="482" priority="78" stopIfTrue="1">
      <formula>SUM($G$295:$I$295)&gt;0</formula>
    </cfRule>
  </conditionalFormatting>
  <conditionalFormatting sqref="U264:AE294 BI264:BS294 CA264:CD294 CF264:CF294 CO264:CY294 DA264:DD294 CE264:CE295">
    <cfRule type="cellIs" dxfId="481" priority="74" stopIfTrue="1" operator="equal">
      <formula>0</formula>
    </cfRule>
  </conditionalFormatting>
  <conditionalFormatting sqref="AF264:AF294">
    <cfRule type="expression" dxfId="480" priority="54" stopIfTrue="1">
      <formula>$AE264=3</formula>
    </cfRule>
    <cfRule type="expression" dxfId="479" priority="56" stopIfTrue="1">
      <formula>$AE264&gt;3</formula>
    </cfRule>
    <cfRule type="expression" dxfId="478" priority="55" stopIfTrue="1">
      <formula>OR($AE264=1,$AE264=2)</formula>
    </cfRule>
  </conditionalFormatting>
  <conditionalFormatting sqref="DJ263:DK294 DI264:DI294 DL264:DM294">
    <cfRule type="cellIs" dxfId="477" priority="27" stopIfTrue="1" operator="equal">
      <formula>0</formula>
    </cfRule>
  </conditionalFormatting>
  <dataValidations count="11">
    <dataValidation type="date" allowBlank="1" showInputMessage="1" showErrorMessage="1" sqref="I232" xr:uid="{00000000-0002-0000-0500-000001000000}">
      <formula1>I231</formula1>
      <formula2>I226</formula2>
    </dataValidation>
    <dataValidation type="whole" allowBlank="1" showInputMessage="1" showErrorMessage="1" sqref="D264:D294" xr:uid="{00000000-0002-0000-0500-000002000000}">
      <formula1>0</formula1>
      <formula2>S264</formula2>
    </dataValidation>
    <dataValidation type="date" operator="greaterThanOrEqual" allowBlank="1" showInputMessage="1" showErrorMessage="1" sqref="I225 I215 I235" xr:uid="{00000000-0002-0000-0500-000003000000}">
      <formula1>I214</formula1>
    </dataValidation>
    <dataValidation type="date" operator="greaterThanOrEqual" allowBlank="1" showInputMessage="1" showErrorMessage="1" sqref="I23" xr:uid="{00000000-0002-0000-0500-000004000000}">
      <formula1>H21</formula1>
    </dataValidation>
    <dataValidation type="list" allowBlank="1" showInputMessage="1" showErrorMessage="1" sqref="AI25:AI26 I25:I26 D315:D329" xr:uid="{00000000-0002-0000-0500-000005000000}">
      <formula1>L_JaNein</formula1>
    </dataValidation>
    <dataValidation type="textLength" allowBlank="1" showInputMessage="1" showErrorMessage="1" sqref="G315:I329" xr:uid="{00000000-0002-0000-0500-000006000000}">
      <formula1>0</formula1>
      <formula2>32</formula2>
    </dataValidation>
    <dataValidation type="list" allowBlank="1" showInputMessage="1" showErrorMessage="1" sqref="G228 G218 G238" xr:uid="{00000000-0002-0000-0500-000007000000}">
      <formula1>L_Rückfall</formula1>
    </dataValidation>
    <dataValidation type="list" allowBlank="1" showInputMessage="1" showErrorMessage="1" sqref="G216 G226 G236" xr:uid="{00000000-0002-0000-0500-000008000000}">
      <formula1>L_Arbeitsunfähigkeit_Grund</formula1>
    </dataValidation>
    <dataValidation type="list" allowBlank="1" showInputMessage="1" showErrorMessage="1" sqref="G227:I227 G217:I217 G237:I237" xr:uid="{00000000-0002-0000-0500-000009000000}">
      <formula1>L_ArtUnfall</formula1>
    </dataValidation>
    <dataValidation type="textLength" allowBlank="1" showInputMessage="1" showErrorMessage="1" sqref="F40:I40 F44:I45 F42:I42" xr:uid="{00000000-0002-0000-0500-00000A000000}">
      <formula1>0</formula1>
      <formula2>40</formula2>
    </dataValidation>
    <dataValidation type="custom" allowBlank="1" showInputMessage="1" showErrorMessage="1" sqref="E264:F294" xr:uid="{00000000-0002-0000-0500-00000B000000}">
      <formula1>NOT(U264=1)</formula1>
    </dataValidation>
  </dataValidations>
  <hyperlinks>
    <hyperlink ref="B13:I13" location="Linkziel_M_Eingaben" display="Monatlliche Abrechnung: Geben Sie hier die Informationen ein, um die Lohnabrechnung für diesen Monat zu erstellen" xr:uid="{00000000-0004-0000-0500-000000000000}"/>
    <hyperlink ref="B18:I18" location="Linkziel_M_Korrekturen" display="Korrekturen: Wenn Sie Korrekturen zu einer früheren Lohnabrechnung machen müssen, können Sie diese hier eingeben" xr:uid="{00000000-0004-0000-0500-000001000000}"/>
    <hyperlink ref="B17:I17" location="Linkziel_M_Einsatzrapport" display="Einsatzrapport: Wenn Sie einen Einsatzrapport führen wollen, können Sie hier die Arbeitszeit pro Tag erfassen" xr:uid="{00000000-0004-0000-05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500-000003000000}"/>
    <hyperlink ref="B15:I15" location="Linkziel_M_ASTeK" display="Verrechnung Assistenzbeitrag: Hier finden Sie die Daten für den Übertrag ins ASTeK (bzw. für das Rechnungsformular Assistenzbeitrag, falls Sie das ASTeK nicht verwenden)" xr:uid="{00000000-0004-0000-0500-000004000000}"/>
    <hyperlink ref="B14:I14" location="Linkziel_M_Lohnabrechnung" display="Lohnabrechnung zum Ausdrucken" xr:uid="{00000000-0004-0000-0500-000005000000}"/>
    <hyperlink ref="A5" location="Linkziel_M_Eingaben" display="Linkziel_M_Eingaben" xr:uid="{00000000-0004-0000-0500-000006000000}"/>
    <hyperlink ref="A6" location="Linkziel_M_Lohnabrechnung" display="Linkziel_M_Lohnabrechnung" xr:uid="{00000000-0004-0000-0500-000007000000}"/>
    <hyperlink ref="A7" location="Linkziel_M_ASTeK" display="Linkziel_M_ASTeK" xr:uid="{00000000-0004-0000-0500-000008000000}"/>
    <hyperlink ref="F5" location="Linkziel_M_Abwesenheiten" display="Linkziel_M_Abwesenheiten" xr:uid="{00000000-0004-0000-0500-000009000000}"/>
    <hyperlink ref="F6" location="Linkziel_M_Einsatzrapport" display="Linkziel_M_Einsatzrapport" xr:uid="{00000000-0004-0000-0500-00000A000000}"/>
    <hyperlink ref="F7" location="Linkziel_M_Korrekturen" display="Linkziel_M_Korrekturen" xr:uid="{00000000-0004-0000-0500-00000B000000}"/>
    <hyperlink ref="A16" location="Linkziel_M_Abwesenheiten" display="Linkziel_M_Abwesenheiten" xr:uid="{00000000-0004-0000-0500-00000C000000}"/>
    <hyperlink ref="A17" location="Linkziel_M_Einsatzrapport" display="Linkziel_M_Einsatzrapport" xr:uid="{00000000-0004-0000-0500-00000D000000}"/>
    <hyperlink ref="A18" location="Linkziel_M_Korrekturen" display="Linkziel_M_Korrekturen" xr:uid="{00000000-0004-0000-0500-00000E000000}"/>
    <hyperlink ref="A13" location="Linkziel_M_Eingaben" display="Linkziel_M_Eingaben" xr:uid="{00000000-0004-0000-0500-00000F000000}"/>
    <hyperlink ref="A14" location="Linkziel_M_Lohnabrechnung" display="Linkziel_M_Lohnabrechnung" xr:uid="{00000000-0004-0000-0500-000010000000}"/>
    <hyperlink ref="A15" location="Linkziel_M_ASTeK" display="Linkziel_M_ASTeK" xr:uid="{00000000-0004-0000-0500-000011000000}"/>
    <hyperlink ref="A25:G25" location="Linkziel_M_Einsatzrapport" display="Linkziel_M_Einsatzrapport" xr:uid="{00000000-0004-0000-0500-000012000000}"/>
    <hyperlink ref="H1:I1" location="Intro!A22" display="zurück zum Intro" xr:uid="{00000000-0004-0000-05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9" man="1"/>
    <brk id="29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outlinePr showOutlineSymbols="0"/>
  </sheetPr>
  <dimension ref="A1:DS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Mai</v>
      </c>
      <c r="H1" s="450" t="str">
        <f ca="1">INDIRECT(ADDRESS(ROW()+N_Offset_M,COLUMN()+(N_SpracheAuswahl)*26,,,"Text"))</f>
        <v>zurück zum Intro</v>
      </c>
      <c r="I1" s="449"/>
      <c r="O1" s="56" t="s">
        <v>97</v>
      </c>
      <c r="P1" s="309">
        <f>DATE('  B  '!C13,5,1)</f>
        <v>45413</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45413</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Mai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45413</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Mai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45413</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04 '!AK295</f>
        <v>0</v>
      </c>
      <c r="AL263" s="137"/>
      <c r="AN263" s="137">
        <f>IF(N_Kündigungsfrist_Beginn=AH264,0,1)</f>
        <v>1</v>
      </c>
      <c r="AO263" s="55"/>
      <c r="AP263" s="233">
        <f ca="1">' 04 '!AP295</f>
        <v>0</v>
      </c>
      <c r="AR263" s="234">
        <f ca="1">' 04 '!AR295</f>
        <v>0</v>
      </c>
      <c r="AT263" s="355">
        <f ca="1">' 04 '!AT295+N318</f>
        <v>28</v>
      </c>
      <c r="AV263" s="246">
        <f ca="1">' 04 '!AV295</f>
        <v>0</v>
      </c>
      <c r="AW263" s="245"/>
      <c r="AY263" s="239"/>
      <c r="BA263" s="222"/>
      <c r="BB263" s="249">
        <f ca="1">' 04 '!BB295</f>
        <v>0</v>
      </c>
      <c r="BC263" s="245"/>
      <c r="BE263" s="252">
        <f ca="1">' 04 '!BE295</f>
        <v>0</v>
      </c>
      <c r="BG263" s="252">
        <f ca="1">' 04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45413</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45413</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90</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184</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45414</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45414</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90</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184</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45415</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45415</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90</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184</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45416</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45416</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90</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184</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45417</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45417</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90</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184</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45418</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45418</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90</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184</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45419</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45419</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90</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184</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45420</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45420</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90</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184</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45421</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45421</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90</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184</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45422</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45422</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90</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184</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45423</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45423</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90</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184</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45424</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45424</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90</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184</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45425</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45425</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90</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184</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45426</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45426</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90</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184</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45427</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45427</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90</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184</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45428</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45428</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90</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184</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45429</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45429</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90</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184</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45430</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45430</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90</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184</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45431</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45431</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90</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184</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45432</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45432</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90</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184</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45433</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45433</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90</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184</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45434</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45434</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90</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184</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45435</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45435</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90</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184</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45436</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45436</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90</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184</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45437</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45437</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90</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184</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45438</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45438</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90</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184</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45439</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45439</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90</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184</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45440</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45440</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90</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184</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45441</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45441</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90</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184</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45442</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45442</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90</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184</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45443</v>
      </c>
      <c r="B294" s="154"/>
      <c r="C294" s="154"/>
      <c r="D294" s="154"/>
      <c r="E294" s="875" t="str">
        <f t="shared" ca="1" si="57"/>
        <v/>
      </c>
      <c r="F294" s="876"/>
      <c r="G294" s="667">
        <f t="shared" ca="1" si="114"/>
        <v>0</v>
      </c>
      <c r="H294" s="667">
        <f t="shared" ca="1" si="58"/>
        <v>0</v>
      </c>
      <c r="I294" s="667">
        <f t="shared" ca="1" si="59"/>
        <v>0</v>
      </c>
      <c r="P294" s="151">
        <f t="shared" si="60"/>
        <v>125</v>
      </c>
      <c r="R294" s="55">
        <f t="shared" si="61"/>
        <v>0</v>
      </c>
      <c r="S294" s="55">
        <f t="shared" si="62"/>
        <v>1</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45443</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90</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184</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04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45413</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123" hidden="1" x14ac:dyDescent="0.25"/>
    <row r="355" spans="1:123" hidden="1" x14ac:dyDescent="0.25"/>
    <row r="356" spans="1:123" hidden="1" x14ac:dyDescent="0.25">
      <c r="DS356" s="77"/>
    </row>
    <row r="357" spans="1:123" s="77" customFormat="1" hidden="1" x14ac:dyDescent="0.25">
      <c r="A357" s="146" t="s">
        <v>53</v>
      </c>
      <c r="AM357" s="139"/>
      <c r="AO357" s="139"/>
      <c r="AQ357" s="139"/>
      <c r="AT357" s="138"/>
      <c r="DS357" s="55"/>
    </row>
    <row r="358" spans="1:123" hidden="1" x14ac:dyDescent="0.25">
      <c r="J358" s="55" t="s">
        <v>56</v>
      </c>
      <c r="K358" s="55" t="s">
        <v>55</v>
      </c>
      <c r="L358" s="63" t="s">
        <v>524</v>
      </c>
      <c r="M358" s="55" t="s">
        <v>52</v>
      </c>
    </row>
    <row r="359" spans="1:123"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123" hidden="1" x14ac:dyDescent="0.25">
      <c r="A360" s="159" t="str">
        <f>'  B  '!C21</f>
        <v/>
      </c>
      <c r="B360" s="159"/>
      <c r="C360" s="159"/>
      <c r="D360" s="159"/>
      <c r="F360" s="159"/>
      <c r="G360" s="196">
        <f>A264</f>
        <v>45413</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123"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123"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123"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123"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123"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123"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123"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123"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Ej7QLAe1nZw2UP41la9nDZnUra05sQ7xY2h1lvlDK9iUWPPXVZHj/zBF+z1ZbwfYXGKjf5ERSGXNiNeCvQHJ3Q==" saltValue="poCKLhoVmU+O3Rok3bqDlw==" spinCount="100000" sheet="1" objects="1" scenarios="1"/>
  <mergeCells count="311">
    <mergeCell ref="G230:H230"/>
    <mergeCell ref="E221:F221"/>
    <mergeCell ref="A137:G137"/>
    <mergeCell ref="A138:G138"/>
    <mergeCell ref="A139:G139"/>
    <mergeCell ref="A140:G140"/>
    <mergeCell ref="A141:G141"/>
    <mergeCell ref="A142:G142"/>
    <mergeCell ref="A143:G143"/>
    <mergeCell ref="A144:G144"/>
    <mergeCell ref="A216:D216"/>
    <mergeCell ref="A214:D214"/>
    <mergeCell ref="A182:E182"/>
    <mergeCell ref="A183:E183"/>
    <mergeCell ref="A184:E184"/>
    <mergeCell ref="A185:E185"/>
    <mergeCell ref="A177:E177"/>
    <mergeCell ref="A180:E180"/>
    <mergeCell ref="A181:E181"/>
    <mergeCell ref="A186:E186"/>
    <mergeCell ref="A187:E187"/>
    <mergeCell ref="H147:I147"/>
    <mergeCell ref="A163:E163"/>
    <mergeCell ref="A160:E160"/>
    <mergeCell ref="A133:G133"/>
    <mergeCell ref="A134:G134"/>
    <mergeCell ref="A135:G135"/>
    <mergeCell ref="A136:G136"/>
    <mergeCell ref="A114:G114"/>
    <mergeCell ref="A115:G115"/>
    <mergeCell ref="A116:G116"/>
    <mergeCell ref="A117:G117"/>
    <mergeCell ref="A118:G118"/>
    <mergeCell ref="A119:G119"/>
    <mergeCell ref="A120:G120"/>
    <mergeCell ref="A121:G121"/>
    <mergeCell ref="A122:G122"/>
    <mergeCell ref="A123:G123"/>
    <mergeCell ref="A124:G124"/>
    <mergeCell ref="A125:G125"/>
    <mergeCell ref="A126:G126"/>
    <mergeCell ref="A127:G127"/>
    <mergeCell ref="A128:G128"/>
    <mergeCell ref="A129:G129"/>
    <mergeCell ref="A130:G130"/>
    <mergeCell ref="A131:G131"/>
    <mergeCell ref="A100:G100"/>
    <mergeCell ref="A101:G101"/>
    <mergeCell ref="A102:G102"/>
    <mergeCell ref="A103:G103"/>
    <mergeCell ref="A104:G104"/>
    <mergeCell ref="A105:G105"/>
    <mergeCell ref="A106:G106"/>
    <mergeCell ref="A107:G107"/>
    <mergeCell ref="A108:G108"/>
    <mergeCell ref="A91:G91"/>
    <mergeCell ref="A92:G92"/>
    <mergeCell ref="A93:G93"/>
    <mergeCell ref="A94:G94"/>
    <mergeCell ref="A95:G95"/>
    <mergeCell ref="A96:G96"/>
    <mergeCell ref="A97:G97"/>
    <mergeCell ref="A98:G98"/>
    <mergeCell ref="A99:G99"/>
    <mergeCell ref="A82:G82"/>
    <mergeCell ref="A83:G83"/>
    <mergeCell ref="A84:G84"/>
    <mergeCell ref="A85:G85"/>
    <mergeCell ref="A86:G86"/>
    <mergeCell ref="A87:G87"/>
    <mergeCell ref="A88:G88"/>
    <mergeCell ref="A89:G89"/>
    <mergeCell ref="A90:G90"/>
    <mergeCell ref="A73:G73"/>
    <mergeCell ref="A74:G74"/>
    <mergeCell ref="A75:G75"/>
    <mergeCell ref="A76:G76"/>
    <mergeCell ref="A77:G77"/>
    <mergeCell ref="A78:G78"/>
    <mergeCell ref="A79:G79"/>
    <mergeCell ref="A80:G80"/>
    <mergeCell ref="A81:G81"/>
    <mergeCell ref="A64:G64"/>
    <mergeCell ref="A65:G65"/>
    <mergeCell ref="A66:G66"/>
    <mergeCell ref="A67:G67"/>
    <mergeCell ref="A68:G68"/>
    <mergeCell ref="A69:G69"/>
    <mergeCell ref="A70:G70"/>
    <mergeCell ref="A71:G71"/>
    <mergeCell ref="A72:G72"/>
    <mergeCell ref="A331:I331"/>
    <mergeCell ref="E292:F292"/>
    <mergeCell ref="E293:F293"/>
    <mergeCell ref="E294:F294"/>
    <mergeCell ref="B261:I261"/>
    <mergeCell ref="G240:H240"/>
    <mergeCell ref="A158:E158"/>
    <mergeCell ref="A148:I148"/>
    <mergeCell ref="A149:I149"/>
    <mergeCell ref="A252:D252"/>
    <mergeCell ref="A253:D253"/>
    <mergeCell ref="E262:F262"/>
    <mergeCell ref="E271:F271"/>
    <mergeCell ref="A204:D204"/>
    <mergeCell ref="A206:D206"/>
    <mergeCell ref="A205:D205"/>
    <mergeCell ref="G238:I238"/>
    <mergeCell ref="G226:I226"/>
    <mergeCell ref="G236:I236"/>
    <mergeCell ref="G218:I218"/>
    <mergeCell ref="G228:I228"/>
    <mergeCell ref="A220:D220"/>
    <mergeCell ref="A215:D215"/>
    <mergeCell ref="G220:H220"/>
    <mergeCell ref="A161:E161"/>
    <mergeCell ref="A162:E162"/>
    <mergeCell ref="A173:E173"/>
    <mergeCell ref="A174:E174"/>
    <mergeCell ref="A175:E175"/>
    <mergeCell ref="A169:E169"/>
    <mergeCell ref="A170:E170"/>
    <mergeCell ref="A171:E171"/>
    <mergeCell ref="A172:E172"/>
    <mergeCell ref="A154:D154"/>
    <mergeCell ref="A155:D155"/>
    <mergeCell ref="A221:D221"/>
    <mergeCell ref="A218:D218"/>
    <mergeCell ref="A219:D219"/>
    <mergeCell ref="A237:D237"/>
    <mergeCell ref="A236:D236"/>
    <mergeCell ref="A238:D238"/>
    <mergeCell ref="A222:D222"/>
    <mergeCell ref="A224:D224"/>
    <mergeCell ref="A229:D229"/>
    <mergeCell ref="A232:D232"/>
    <mergeCell ref="A234:D234"/>
    <mergeCell ref="A235:D235"/>
    <mergeCell ref="A230:D230"/>
    <mergeCell ref="A231:D231"/>
    <mergeCell ref="A164:E164"/>
    <mergeCell ref="A165:E165"/>
    <mergeCell ref="A166:E166"/>
    <mergeCell ref="A167:E167"/>
    <mergeCell ref="A176:E176"/>
    <mergeCell ref="E231:F231"/>
    <mergeCell ref="F162:I162"/>
    <mergeCell ref="A159:E159"/>
    <mergeCell ref="A109:G109"/>
    <mergeCell ref="A110:G110"/>
    <mergeCell ref="A111:G111"/>
    <mergeCell ref="A112:G112"/>
    <mergeCell ref="A113:G113"/>
    <mergeCell ref="G237:I237"/>
    <mergeCell ref="A217:D217"/>
    <mergeCell ref="G217:I217"/>
    <mergeCell ref="A227:D227"/>
    <mergeCell ref="G227:I227"/>
    <mergeCell ref="A225:D225"/>
    <mergeCell ref="A226:D226"/>
    <mergeCell ref="A228:D228"/>
    <mergeCell ref="A152:D152"/>
    <mergeCell ref="G216:I216"/>
    <mergeCell ref="A207:D207"/>
    <mergeCell ref="A209:D209"/>
    <mergeCell ref="A210:D210"/>
    <mergeCell ref="A211:D211"/>
    <mergeCell ref="A208:D208"/>
    <mergeCell ref="A203:D203"/>
    <mergeCell ref="A202:D202"/>
    <mergeCell ref="A132:G132"/>
    <mergeCell ref="A151:D151"/>
    <mergeCell ref="A43:D43"/>
    <mergeCell ref="E28:F28"/>
    <mergeCell ref="E27:F27"/>
    <mergeCell ref="H21:I21"/>
    <mergeCell ref="A28:D28"/>
    <mergeCell ref="A39:D39"/>
    <mergeCell ref="A36:D36"/>
    <mergeCell ref="A42:E42"/>
    <mergeCell ref="F42:I42"/>
    <mergeCell ref="A34:D34"/>
    <mergeCell ref="F34:H34"/>
    <mergeCell ref="A26:I26"/>
    <mergeCell ref="A29:D29"/>
    <mergeCell ref="A27:D27"/>
    <mergeCell ref="A35:D35"/>
    <mergeCell ref="A44:E44"/>
    <mergeCell ref="A45:E45"/>
    <mergeCell ref="F44:I44"/>
    <mergeCell ref="F45:I45"/>
    <mergeCell ref="A25:H25"/>
    <mergeCell ref="E43:H43"/>
    <mergeCell ref="B13:I13"/>
    <mergeCell ref="B14:I14"/>
    <mergeCell ref="B15:I15"/>
    <mergeCell ref="B16:I16"/>
    <mergeCell ref="B17:I17"/>
    <mergeCell ref="B18:I18"/>
    <mergeCell ref="F40:I40"/>
    <mergeCell ref="A41:D41"/>
    <mergeCell ref="E41:F41"/>
    <mergeCell ref="E31:F31"/>
    <mergeCell ref="E30:F30"/>
    <mergeCell ref="E29:F29"/>
    <mergeCell ref="A30:D30"/>
    <mergeCell ref="A31:D31"/>
    <mergeCell ref="A32:D32"/>
    <mergeCell ref="A33:D33"/>
    <mergeCell ref="F32:H32"/>
    <mergeCell ref="F33:H33"/>
    <mergeCell ref="A303:E303"/>
    <mergeCell ref="E279:F279"/>
    <mergeCell ref="E280:F280"/>
    <mergeCell ref="E275:F275"/>
    <mergeCell ref="E276:F276"/>
    <mergeCell ref="E277:F277"/>
    <mergeCell ref="E278:F278"/>
    <mergeCell ref="E290:F290"/>
    <mergeCell ref="E267:F267"/>
    <mergeCell ref="E268:F268"/>
    <mergeCell ref="E269:F269"/>
    <mergeCell ref="E270:F270"/>
    <mergeCell ref="E287:F287"/>
    <mergeCell ref="E283:F283"/>
    <mergeCell ref="E284:F284"/>
    <mergeCell ref="E288:F288"/>
    <mergeCell ref="E289:F289"/>
    <mergeCell ref="E241:F241"/>
    <mergeCell ref="A239:D239"/>
    <mergeCell ref="E272:F272"/>
    <mergeCell ref="E273:F273"/>
    <mergeCell ref="E274:F274"/>
    <mergeCell ref="E264:F264"/>
    <mergeCell ref="E265:F265"/>
    <mergeCell ref="E266:F266"/>
    <mergeCell ref="A251:D251"/>
    <mergeCell ref="A246:D246"/>
    <mergeCell ref="A247:D247"/>
    <mergeCell ref="A248:D248"/>
    <mergeCell ref="A249:D249"/>
    <mergeCell ref="A250:D250"/>
    <mergeCell ref="A243:J243"/>
    <mergeCell ref="A328:C328"/>
    <mergeCell ref="A326:C326"/>
    <mergeCell ref="A327:C327"/>
    <mergeCell ref="A322:C322"/>
    <mergeCell ref="A323:C323"/>
    <mergeCell ref="A324:C324"/>
    <mergeCell ref="A316:C316"/>
    <mergeCell ref="A317:C317"/>
    <mergeCell ref="A318:C318"/>
    <mergeCell ref="A321:C321"/>
    <mergeCell ref="A320:C320"/>
    <mergeCell ref="G321:I321"/>
    <mergeCell ref="G329:I329"/>
    <mergeCell ref="G325:I325"/>
    <mergeCell ref="G322:I322"/>
    <mergeCell ref="G328:I328"/>
    <mergeCell ref="G323:I323"/>
    <mergeCell ref="G324:I324"/>
    <mergeCell ref="G326:I326"/>
    <mergeCell ref="G327:I327"/>
    <mergeCell ref="A189:E189"/>
    <mergeCell ref="G320:I320"/>
    <mergeCell ref="H310:I310"/>
    <mergeCell ref="G316:I316"/>
    <mergeCell ref="G318:I318"/>
    <mergeCell ref="G317:I317"/>
    <mergeCell ref="A314:C314"/>
    <mergeCell ref="A315:C315"/>
    <mergeCell ref="G314:I314"/>
    <mergeCell ref="G315:I315"/>
    <mergeCell ref="A311:I311"/>
    <mergeCell ref="E313:I313"/>
    <mergeCell ref="A304:E304"/>
    <mergeCell ref="A305:E305"/>
    <mergeCell ref="E291:F291"/>
    <mergeCell ref="A299:E299"/>
    <mergeCell ref="A300:E300"/>
    <mergeCell ref="A301:E301"/>
    <mergeCell ref="B296:C296"/>
    <mergeCell ref="E281:F281"/>
    <mergeCell ref="E282:F282"/>
    <mergeCell ref="E285:F285"/>
    <mergeCell ref="E286:F286"/>
    <mergeCell ref="A302:E302"/>
    <mergeCell ref="A212:J212"/>
    <mergeCell ref="A157:J157"/>
    <mergeCell ref="A329:C329"/>
    <mergeCell ref="A325:C325"/>
    <mergeCell ref="A242:D242"/>
    <mergeCell ref="F35:H35"/>
    <mergeCell ref="A319:C319"/>
    <mergeCell ref="G319:I319"/>
    <mergeCell ref="A240:D240"/>
    <mergeCell ref="A241:D241"/>
    <mergeCell ref="H260:I260"/>
    <mergeCell ref="A306:E306"/>
    <mergeCell ref="A307:E307"/>
    <mergeCell ref="G301:I301"/>
    <mergeCell ref="G302:I302"/>
    <mergeCell ref="G303:I303"/>
    <mergeCell ref="G304:I304"/>
    <mergeCell ref="G305:I305"/>
    <mergeCell ref="G306:I306"/>
    <mergeCell ref="G307:I307"/>
    <mergeCell ref="F173:I173"/>
    <mergeCell ref="A178:E178"/>
    <mergeCell ref="F184:I184"/>
    <mergeCell ref="A188:E188"/>
  </mergeCells>
  <phoneticPr fontId="0" type="noConversion"/>
  <conditionalFormatting sqref="A145 G145:I145">
    <cfRule type="expression" dxfId="476" priority="62" stopIfTrue="1">
      <formula>$P145="BG"</formula>
    </cfRule>
    <cfRule type="expression" dxfId="475" priority="61" stopIfTrue="1">
      <formula>$P145="B"</formula>
    </cfRule>
  </conditionalFormatting>
  <conditionalFormatting sqref="A264:A294">
    <cfRule type="expression" dxfId="474" priority="71" stopIfTrue="1">
      <formula>WEEKDAY(A264,2)&gt;5</formula>
    </cfRule>
    <cfRule type="expression" dxfId="473" priority="70" stopIfTrue="1">
      <formula>R264=1</formula>
    </cfRule>
  </conditionalFormatting>
  <conditionalFormatting sqref="A216:D216">
    <cfRule type="expression" dxfId="472" priority="52" stopIfTrue="1">
      <formula>$O216&lt;1</formula>
    </cfRule>
  </conditionalFormatting>
  <conditionalFormatting sqref="A217:D217">
    <cfRule type="expression" dxfId="471" priority="51">
      <formula>$S$216=9</formula>
    </cfRule>
  </conditionalFormatting>
  <conditionalFormatting sqref="A217:D225 E213:I220 E222:I230 A234:I240 F154:J154 A155 F155:I155 A202:I211 A212 A213:D215 E221 G221:I221 E231 G231:I232 A241:E241 G241:I241 A242:I242 A244:I258 A315:I329">
    <cfRule type="expression" dxfId="470" priority="57" stopIfTrue="1">
      <formula>$O154&lt;1</formula>
    </cfRule>
  </conditionalFormatting>
  <conditionalFormatting sqref="A226:D232">
    <cfRule type="expression" dxfId="469" priority="4" stopIfTrue="1">
      <formula>$O226&lt;1</formula>
    </cfRule>
  </conditionalFormatting>
  <conditionalFormatting sqref="A227:D227">
    <cfRule type="expression" dxfId="468" priority="3">
      <formula>$S$226=9</formula>
    </cfRule>
  </conditionalFormatting>
  <conditionalFormatting sqref="A236:D236">
    <cfRule type="expression" dxfId="467" priority="44" stopIfTrue="1">
      <formula>$O236&lt;1</formula>
    </cfRule>
  </conditionalFormatting>
  <conditionalFormatting sqref="A237:D237">
    <cfRule type="expression" dxfId="466" priority="43">
      <formula>$S$216=9</formula>
    </cfRule>
  </conditionalFormatting>
  <conditionalFormatting sqref="A237:D242 A243">
    <cfRule type="expression" dxfId="465" priority="45" stopIfTrue="1">
      <formula>$O237&lt;1</formula>
    </cfRule>
  </conditionalFormatting>
  <conditionalFormatting sqref="A190:E191">
    <cfRule type="expression" dxfId="464" priority="325" stopIfTrue="1">
      <formula>$O188&lt;1</formula>
    </cfRule>
  </conditionalFormatting>
  <conditionalFormatting sqref="A192:E193">
    <cfRule type="expression" dxfId="463" priority="435" stopIfTrue="1">
      <formula>$O189&lt;1</formula>
    </cfRule>
  </conditionalFormatting>
  <conditionalFormatting sqref="A194:E198">
    <cfRule type="expression" dxfId="462" priority="53" stopIfTrue="1">
      <formula>$O193&lt;1</formula>
    </cfRule>
  </conditionalFormatting>
  <conditionalFormatting sqref="A28:I30">
    <cfRule type="expression" dxfId="461" priority="79" stopIfTrue="1">
      <formula>NOT(VLOOKUP($I$25,A_JaNein_Auswahl,2)=2)</formula>
    </cfRule>
  </conditionalFormatting>
  <conditionalFormatting sqref="A28:I45">
    <cfRule type="expression" dxfId="460" priority="80" stopIfTrue="1">
      <formula>NOT($Q$24)</formula>
    </cfRule>
  </conditionalFormatting>
  <conditionalFormatting sqref="A34:I34">
    <cfRule type="expression" dxfId="459" priority="85" stopIfTrue="1">
      <formula>NOT($Q$213)</formula>
    </cfRule>
  </conditionalFormatting>
  <conditionalFormatting sqref="A35:I35">
    <cfRule type="expression" dxfId="458" priority="87" stopIfTrue="1">
      <formula>NOT($Q$213)</formula>
    </cfRule>
  </conditionalFormatting>
  <conditionalFormatting sqref="A63:J144">
    <cfRule type="expression" dxfId="457" priority="11" stopIfTrue="1">
      <formula>$P63="BG"</formula>
    </cfRule>
    <cfRule type="expression" dxfId="456" priority="10" stopIfTrue="1">
      <formula>$P63="B"</formula>
    </cfRule>
    <cfRule type="expression" dxfId="455" priority="12" stopIfTrue="1">
      <formula>$P63="K"</formula>
    </cfRule>
  </conditionalFormatting>
  <conditionalFormatting sqref="B264:D294">
    <cfRule type="expression" dxfId="454" priority="259" stopIfTrue="1">
      <formula>AND($AE264&gt;3,$BU264=1)</formula>
    </cfRule>
  </conditionalFormatting>
  <conditionalFormatting sqref="B264:F294">
    <cfRule type="expression" dxfId="453" priority="28" stopIfTrue="1">
      <formula>$AE264=3</formula>
    </cfRule>
    <cfRule type="expression" dxfId="452" priority="30" stopIfTrue="1">
      <formula>OR($AE264=1,$AE264=2,$R264=1)</formula>
    </cfRule>
  </conditionalFormatting>
  <conditionalFormatting sqref="E154:E155">
    <cfRule type="expression" dxfId="451" priority="5" stopIfTrue="1">
      <formula>$O154&lt;1</formula>
    </cfRule>
  </conditionalFormatting>
  <conditionalFormatting sqref="E313">
    <cfRule type="expression" dxfId="450" priority="6">
      <formula>OR(D315="Ja",D315="Oui",D316="Ja",D316="Oui")</formula>
    </cfRule>
  </conditionalFormatting>
  <conditionalFormatting sqref="E264:F294">
    <cfRule type="expression" dxfId="449" priority="29" stopIfTrue="1">
      <formula>OR($AE264&gt;3,$AC264=1)</formula>
    </cfRule>
  </conditionalFormatting>
  <conditionalFormatting sqref="F161">
    <cfRule type="expression" dxfId="448" priority="2" stopIfTrue="1">
      <formula>$O161&lt;1</formula>
    </cfRule>
    <cfRule type="expression" dxfId="447" priority="1">
      <formula>S216=9</formula>
    </cfRule>
  </conditionalFormatting>
  <conditionalFormatting sqref="F161:F162">
    <cfRule type="expression" dxfId="446" priority="25">
      <formula>S216=9</formula>
    </cfRule>
  </conditionalFormatting>
  <conditionalFormatting sqref="F172">
    <cfRule type="expression" dxfId="445" priority="24" stopIfTrue="1">
      <formula>$O172&lt;1</formula>
    </cfRule>
    <cfRule type="expression" dxfId="444" priority="23">
      <formula>S225=9</formula>
    </cfRule>
  </conditionalFormatting>
  <conditionalFormatting sqref="F173">
    <cfRule type="expression" dxfId="443" priority="19" stopIfTrue="1">
      <formula>$O173&lt;1</formula>
    </cfRule>
    <cfRule type="expression" dxfId="442" priority="18">
      <formula>S229=9</formula>
    </cfRule>
  </conditionalFormatting>
  <conditionalFormatting sqref="F183">
    <cfRule type="expression" dxfId="441" priority="21">
      <formula>S236=9</formula>
    </cfRule>
  </conditionalFormatting>
  <conditionalFormatting sqref="F184">
    <cfRule type="expression" dxfId="440" priority="17" stopIfTrue="1">
      <formula>$O184&lt;1</formula>
    </cfRule>
    <cfRule type="expression" dxfId="439" priority="16">
      <formula>S241=9</formula>
    </cfRule>
  </conditionalFormatting>
  <conditionalFormatting sqref="F158:I161 F162 F163:I172 A158:E168 A170:E179 A181:E189 F185:I198">
    <cfRule type="expression" dxfId="438" priority="26" stopIfTrue="1">
      <formula>$O158&lt;1</formula>
    </cfRule>
  </conditionalFormatting>
  <conditionalFormatting sqref="F174:I182">
    <cfRule type="expression" dxfId="437" priority="20" stopIfTrue="1">
      <formula>$O174&lt;1</formula>
    </cfRule>
  </conditionalFormatting>
  <conditionalFormatting sqref="F183:I183 E232:F232">
    <cfRule type="expression" dxfId="436" priority="22" stopIfTrue="1">
      <formula>$O184&lt;1</formula>
    </cfRule>
  </conditionalFormatting>
  <conditionalFormatting sqref="F315:I329">
    <cfRule type="expression" dxfId="435" priority="395" stopIfTrue="1">
      <formula>NOT(VLOOKUP($D315,A_JaNein_Auswahl,2,0)=1)</formula>
    </cfRule>
  </conditionalFormatting>
  <conditionalFormatting sqref="G217:I217">
    <cfRule type="expression" dxfId="434" priority="50">
      <formula>$O217&gt;1</formula>
    </cfRule>
  </conditionalFormatting>
  <conditionalFormatting sqref="G227:I227">
    <cfRule type="expression" dxfId="433" priority="46">
      <formula>$O227&gt;1</formula>
    </cfRule>
  </conditionalFormatting>
  <conditionalFormatting sqref="G237:I237">
    <cfRule type="expression" dxfId="432" priority="42">
      <formula>$O237&gt;1</formula>
    </cfRule>
  </conditionalFormatting>
  <conditionalFormatting sqref="G262:I262">
    <cfRule type="expression" dxfId="431" priority="76" stopIfTrue="1">
      <formula>OR(SUM($G$295:$I$295)&gt;0,SUM($AC$264:$AC$294)&gt;0)</formula>
    </cfRule>
  </conditionalFormatting>
  <conditionalFormatting sqref="G263:I263">
    <cfRule type="expression" dxfId="430" priority="77" stopIfTrue="1">
      <formula>OR(SUM($G$295:$I$295)&gt;0,SUM($AC$264:$AC$294)&gt;0)</formula>
    </cfRule>
  </conditionalFormatting>
  <conditionalFormatting sqref="G264:I294">
    <cfRule type="expression" dxfId="429" priority="14" stopIfTrue="1">
      <formula>OR($AE264=1,$AE264=2,$R264=1)</formula>
    </cfRule>
  </conditionalFormatting>
  <conditionalFormatting sqref="G295:I295">
    <cfRule type="expression" dxfId="428" priority="15" stopIfTrue="1">
      <formula>SUM($G$295:$I$295)&gt;0</formula>
    </cfRule>
  </conditionalFormatting>
  <conditionalFormatting sqref="I23:I24 A23:H27 I26:I27">
    <cfRule type="expression" dxfId="427" priority="81" stopIfTrue="1">
      <formula>NOT($Q$24)</formula>
    </cfRule>
  </conditionalFormatting>
  <conditionalFormatting sqref="I25">
    <cfRule type="expression" dxfId="426" priority="88" stopIfTrue="1">
      <formula>NOT($Q$24)</formula>
    </cfRule>
  </conditionalFormatting>
  <conditionalFormatting sqref="I32">
    <cfRule type="expression" dxfId="425" priority="83" stopIfTrue="1">
      <formula>NOT($Q$32)</formula>
    </cfRule>
  </conditionalFormatting>
  <conditionalFormatting sqref="I37">
    <cfRule type="expression" dxfId="424" priority="92" stopIfTrue="1">
      <formula>NOT($O$37=1)</formula>
    </cfRule>
  </conditionalFormatting>
  <conditionalFormatting sqref="I38">
    <cfRule type="expression" dxfId="423" priority="90" stopIfTrue="1">
      <formula>NOT($O$38=1)</formula>
    </cfRule>
  </conditionalFormatting>
  <conditionalFormatting sqref="J262:J295">
    <cfRule type="expression" dxfId="422" priority="78" stopIfTrue="1">
      <formula>SUM($G$295:$I$295)&gt;0</formula>
    </cfRule>
  </conditionalFormatting>
  <conditionalFormatting sqref="U264:AE294 BI264:BS294 CA264:CD294 CF264:CF294 CO264:CY294 DA264:DD294 CE264:CE295">
    <cfRule type="cellIs" dxfId="421" priority="74" stopIfTrue="1" operator="equal">
      <formula>0</formula>
    </cfRule>
  </conditionalFormatting>
  <conditionalFormatting sqref="AF264:AF294">
    <cfRule type="expression" dxfId="420" priority="54" stopIfTrue="1">
      <formula>$AE264=3</formula>
    </cfRule>
    <cfRule type="expression" dxfId="419" priority="55" stopIfTrue="1">
      <formula>OR($AE264=1,$AE264=2)</formula>
    </cfRule>
    <cfRule type="expression" dxfId="418" priority="56" stopIfTrue="1">
      <formula>$AE264&gt;3</formula>
    </cfRule>
  </conditionalFormatting>
  <conditionalFormatting sqref="DJ263:DK294 DI264:DI294 DL264:DM294">
    <cfRule type="cellIs" dxfId="417" priority="27" stopIfTrue="1" operator="equal">
      <formula>0</formula>
    </cfRule>
  </conditionalFormatting>
  <dataValidations count="11">
    <dataValidation type="date" allowBlank="1" showInputMessage="1" showErrorMessage="1" sqref="I232" xr:uid="{00000000-0002-0000-0600-000001000000}">
      <formula1>I231</formula1>
      <formula2>I226</formula2>
    </dataValidation>
    <dataValidation type="whole" allowBlank="1" showInputMessage="1" showErrorMessage="1" sqref="D264:D294" xr:uid="{00000000-0002-0000-0600-000002000000}">
      <formula1>0</formula1>
      <formula2>S264</formula2>
    </dataValidation>
    <dataValidation type="date" operator="greaterThanOrEqual" allowBlank="1" showInputMessage="1" showErrorMessage="1" sqref="I225 I215 I235" xr:uid="{00000000-0002-0000-0600-000003000000}">
      <formula1>I214</formula1>
    </dataValidation>
    <dataValidation type="date" operator="greaterThanOrEqual" allowBlank="1" showInputMessage="1" showErrorMessage="1" sqref="I23" xr:uid="{00000000-0002-0000-0600-000004000000}">
      <formula1>H21</formula1>
    </dataValidation>
    <dataValidation type="list" allowBlank="1" showInputMessage="1" showErrorMessage="1" sqref="AI25:AI26 I25:I26 D315:D329" xr:uid="{00000000-0002-0000-0600-000005000000}">
      <formula1>L_JaNein</formula1>
    </dataValidation>
    <dataValidation type="textLength" allowBlank="1" showInputMessage="1" showErrorMessage="1" sqref="G315:I329" xr:uid="{00000000-0002-0000-0600-000006000000}">
      <formula1>0</formula1>
      <formula2>32</formula2>
    </dataValidation>
    <dataValidation type="list" allowBlank="1" showInputMessage="1" showErrorMessage="1" sqref="G228 G218 G238" xr:uid="{00000000-0002-0000-0600-000007000000}">
      <formula1>L_Rückfall</formula1>
    </dataValidation>
    <dataValidation type="list" allowBlank="1" showInputMessage="1" showErrorMessage="1" sqref="G216 G226 G236" xr:uid="{00000000-0002-0000-0600-000008000000}">
      <formula1>L_Arbeitsunfähigkeit_Grund</formula1>
    </dataValidation>
    <dataValidation type="list" allowBlank="1" showInputMessage="1" showErrorMessage="1" sqref="G227:I227 G217:I217 G237:I237" xr:uid="{00000000-0002-0000-0600-000009000000}">
      <formula1>L_ArtUnfall</formula1>
    </dataValidation>
    <dataValidation type="textLength" allowBlank="1" showInputMessage="1" showErrorMessage="1" sqref="F40:I40 F44:I45 F42:I42" xr:uid="{00000000-0002-0000-0600-00000A000000}">
      <formula1>0</formula1>
      <formula2>40</formula2>
    </dataValidation>
    <dataValidation type="custom" allowBlank="1" showInputMessage="1" showErrorMessage="1" sqref="E264:F294" xr:uid="{00000000-0002-0000-0600-00000B000000}">
      <formula1>NOT(U264=1)</formula1>
    </dataValidation>
  </dataValidations>
  <hyperlinks>
    <hyperlink ref="B13:I13" location="Linkziel_M_Eingaben" display="Monatlliche Abrechnung: Geben Sie hier die Informationen ein, um die Lohnabrechnung für diesen Monat zu erstellen" xr:uid="{00000000-0004-0000-0600-000000000000}"/>
    <hyperlink ref="B18:I18" location="Linkziel_M_Korrekturen" display="Korrekturen: Wenn Sie Korrekturen zu einer früheren Lohnabrechnung machen müssen, können Sie diese hier eingeben" xr:uid="{00000000-0004-0000-0600-000001000000}"/>
    <hyperlink ref="B17:I17" location="Linkziel_M_Einsatzrapport" display="Einsatzrapport: Wenn Sie einen Einsatzrapport führen wollen, können Sie hier die Arbeitszeit pro Tag erfassen" xr:uid="{00000000-0004-0000-06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600-000003000000}"/>
    <hyperlink ref="B15:I15" location="Linkziel_M_ASTeK" display="Verrechnung Assistenzbeitrag: Hier finden Sie die Daten für den Übertrag ins ASTeK (bzw. für das Rechnungsformular Assistenzbeitrag, falls Sie das ASTeK nicht verwenden)" xr:uid="{00000000-0004-0000-0600-000004000000}"/>
    <hyperlink ref="B14:I14" location="Linkziel_M_Lohnabrechnung" display="Lohnabrechnung zum Ausdrucken" xr:uid="{00000000-0004-0000-0600-000005000000}"/>
    <hyperlink ref="A5" location="Linkziel_M_Eingaben" display="Linkziel_M_Eingaben" xr:uid="{00000000-0004-0000-0600-000006000000}"/>
    <hyperlink ref="A6" location="Linkziel_M_Lohnabrechnung" display="Linkziel_M_Lohnabrechnung" xr:uid="{00000000-0004-0000-0600-000007000000}"/>
    <hyperlink ref="A7" location="Linkziel_M_ASTeK" display="Linkziel_M_ASTeK" xr:uid="{00000000-0004-0000-0600-000008000000}"/>
    <hyperlink ref="F5" location="Linkziel_M_Abwesenheiten" display="Linkziel_M_Abwesenheiten" xr:uid="{00000000-0004-0000-0600-000009000000}"/>
    <hyperlink ref="F6" location="Linkziel_M_Einsatzrapport" display="Linkziel_M_Einsatzrapport" xr:uid="{00000000-0004-0000-0600-00000A000000}"/>
    <hyperlink ref="F7" location="Linkziel_M_Korrekturen" display="Linkziel_M_Korrekturen" xr:uid="{00000000-0004-0000-0600-00000B000000}"/>
    <hyperlink ref="A16" location="Linkziel_M_Abwesenheiten" display="Linkziel_M_Abwesenheiten" xr:uid="{00000000-0004-0000-0600-00000C000000}"/>
    <hyperlink ref="A17" location="Linkziel_M_Einsatzrapport" display="Linkziel_M_Einsatzrapport" xr:uid="{00000000-0004-0000-0600-00000D000000}"/>
    <hyperlink ref="A18" location="Linkziel_M_Korrekturen" display="Linkziel_M_Korrekturen" xr:uid="{00000000-0004-0000-0600-00000E000000}"/>
    <hyperlink ref="A13" location="Linkziel_M_Eingaben" display="Linkziel_M_Eingaben" xr:uid="{00000000-0004-0000-0600-00000F000000}"/>
    <hyperlink ref="A14" location="Linkziel_M_Lohnabrechnung" display="Linkziel_M_Lohnabrechnung" xr:uid="{00000000-0004-0000-0600-000010000000}"/>
    <hyperlink ref="A15" location="Linkziel_M_ASTeK" display="Linkziel_M_ASTeK" xr:uid="{00000000-0004-0000-0600-000011000000}"/>
    <hyperlink ref="A25:G25" location="Linkziel_M_Einsatzrapport" display="Linkziel_M_Einsatzrapport" xr:uid="{00000000-0004-0000-0600-000012000000}"/>
    <hyperlink ref="H1:I1" location="Intro!A22" display="zurück zum Intro" xr:uid="{00000000-0004-0000-06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9" man="1"/>
    <brk id="29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Juni</v>
      </c>
      <c r="H1" s="450" t="str">
        <f ca="1">INDIRECT(ADDRESS(ROW()+N_Offset_M,COLUMN()+(N_SpracheAuswahl)*26,,,"Text"))</f>
        <v>zurück zum Intro</v>
      </c>
      <c r="I1" s="449"/>
      <c r="O1" s="56" t="s">
        <v>97</v>
      </c>
      <c r="P1" s="309">
        <f>DATE('  B  '!C13,6,1)</f>
        <v>45444</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30</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45444</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Juni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45444</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Juni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45444</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05 '!AK295</f>
        <v>0</v>
      </c>
      <c r="AL263" s="137"/>
      <c r="AN263" s="137">
        <f>IF(N_Kündigungsfrist_Beginn=AH264,0,1)</f>
        <v>1</v>
      </c>
      <c r="AO263" s="55"/>
      <c r="AP263" s="233">
        <f ca="1">' 05 '!AP295</f>
        <v>0</v>
      </c>
      <c r="AR263" s="234">
        <f ca="1">' 05 '!AR295</f>
        <v>0</v>
      </c>
      <c r="AT263" s="355">
        <f ca="1">' 05 '!AT295+N318</f>
        <v>28</v>
      </c>
      <c r="AV263" s="246">
        <f ca="1">' 05 '!AV295</f>
        <v>0</v>
      </c>
      <c r="AW263" s="245"/>
      <c r="AY263" s="239"/>
      <c r="BA263" s="222"/>
      <c r="BB263" s="249">
        <f ca="1">' 05 '!BB295</f>
        <v>0</v>
      </c>
      <c r="BC263" s="245"/>
      <c r="BE263" s="252">
        <f ca="1">' 05 '!BE295</f>
        <v>0</v>
      </c>
      <c r="BG263" s="252">
        <f ca="1">' 05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45444</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45444</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92</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183</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45445</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45445</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92</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183</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45446</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45446</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92</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183</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45447</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45447</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92</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183</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45448</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45448</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92</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183</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45449</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45449</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92</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183</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45450</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45450</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92</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183</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45451</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45451</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92</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183</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45452</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45452</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92</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183</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45453</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45453</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92</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183</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45454</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45454</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92</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183</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45455</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45455</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92</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183</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45456</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45456</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92</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183</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45457</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45457</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92</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183</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45458</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45458</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92</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183</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45459</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45459</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92</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183</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45460</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45460</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92</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183</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45461</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45461</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92</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183</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45462</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45462</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92</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183</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45463</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45463</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92</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183</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45464</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45464</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92</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183</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45465</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45465</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92</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183</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45466</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45466</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92</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183</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45467</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45467</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92</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183</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45468</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45468</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92</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183</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45469</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45469</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92</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183</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45470</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45470</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92</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183</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45471</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45471</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92</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183</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45472</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45472</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92</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183</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45473</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45473</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92</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183</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45474</v>
      </c>
      <c r="B294" s="154"/>
      <c r="C294" s="154"/>
      <c r="D294" s="154"/>
      <c r="E294" s="875" t="str">
        <f t="shared" ca="1" si="57"/>
        <v/>
      </c>
      <c r="F294" s="876"/>
      <c r="G294" s="667">
        <f t="shared" ca="1" si="114"/>
        <v>0</v>
      </c>
      <c r="H294" s="667">
        <f t="shared" ca="1" si="58"/>
        <v>0</v>
      </c>
      <c r="I294" s="667">
        <f t="shared" ca="1" si="59"/>
        <v>0</v>
      </c>
      <c r="P294" s="151">
        <f t="shared" si="60"/>
        <v>125</v>
      </c>
      <c r="R294" s="55">
        <f t="shared" si="61"/>
        <v>1</v>
      </c>
      <c r="S294" s="55">
        <f t="shared" si="62"/>
        <v>0</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45474</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91</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184</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05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45444</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
        <v>875</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45444</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jbPxkY+tlludCnGiS593UCHUbdHmwbq0zn4pWTeu6M3Fpe+Z3K4Fys/rrEGLTk2tcyzdzLDnFD7A6PZV6rBiyQ==" saltValue="5MCwLJ8cg+V4as6I6I/AAg==" spinCount="100000" sheet="1" objects="1" scenarios="1"/>
  <mergeCells count="311">
    <mergeCell ref="A243:J243"/>
    <mergeCell ref="A240:D240"/>
    <mergeCell ref="A241:D241"/>
    <mergeCell ref="A155:D155"/>
    <mergeCell ref="A129:G129"/>
    <mergeCell ref="A130:G130"/>
    <mergeCell ref="A131:G131"/>
    <mergeCell ref="A141:G141"/>
    <mergeCell ref="A142:G142"/>
    <mergeCell ref="A143:G143"/>
    <mergeCell ref="A144:G144"/>
    <mergeCell ref="A132:G132"/>
    <mergeCell ref="A133:G133"/>
    <mergeCell ref="A134:G134"/>
    <mergeCell ref="A135:G135"/>
    <mergeCell ref="A136:G136"/>
    <mergeCell ref="A137:G137"/>
    <mergeCell ref="A138:G138"/>
    <mergeCell ref="A139:G139"/>
    <mergeCell ref="A140:G140"/>
    <mergeCell ref="A152:D152"/>
    <mergeCell ref="A151:D151"/>
    <mergeCell ref="G240:H240"/>
    <mergeCell ref="G226:I226"/>
    <mergeCell ref="A114:G114"/>
    <mergeCell ref="A115:G115"/>
    <mergeCell ref="A116:G116"/>
    <mergeCell ref="A117:G117"/>
    <mergeCell ref="A118:G118"/>
    <mergeCell ref="A119:G119"/>
    <mergeCell ref="A120:G120"/>
    <mergeCell ref="E241:F241"/>
    <mergeCell ref="A121:G121"/>
    <mergeCell ref="A122:G122"/>
    <mergeCell ref="A123:G123"/>
    <mergeCell ref="A124:G124"/>
    <mergeCell ref="A125:G125"/>
    <mergeCell ref="A126:G126"/>
    <mergeCell ref="A127:G127"/>
    <mergeCell ref="A128:G128"/>
    <mergeCell ref="A154:D154"/>
    <mergeCell ref="G236:I236"/>
    <mergeCell ref="G238:I238"/>
    <mergeCell ref="E221:F221"/>
    <mergeCell ref="A219:D219"/>
    <mergeCell ref="F173:I173"/>
    <mergeCell ref="A176:E176"/>
    <mergeCell ref="A177:E177"/>
    <mergeCell ref="A105:G105"/>
    <mergeCell ref="A106:G106"/>
    <mergeCell ref="A107:G107"/>
    <mergeCell ref="A108:G108"/>
    <mergeCell ref="A109:G109"/>
    <mergeCell ref="A110:G110"/>
    <mergeCell ref="A111:G111"/>
    <mergeCell ref="A112:G112"/>
    <mergeCell ref="A113:G113"/>
    <mergeCell ref="G328:I328"/>
    <mergeCell ref="G302:I302"/>
    <mergeCell ref="E275:F275"/>
    <mergeCell ref="G316:I316"/>
    <mergeCell ref="A80:G80"/>
    <mergeCell ref="A81:G81"/>
    <mergeCell ref="A82:G82"/>
    <mergeCell ref="A83:G83"/>
    <mergeCell ref="A84:G84"/>
    <mergeCell ref="A85:G85"/>
    <mergeCell ref="A86:G86"/>
    <mergeCell ref="A87:G87"/>
    <mergeCell ref="A88:G88"/>
    <mergeCell ref="A89:G89"/>
    <mergeCell ref="A90:G90"/>
    <mergeCell ref="A91:G91"/>
    <mergeCell ref="A92:G92"/>
    <mergeCell ref="A93:G93"/>
    <mergeCell ref="A94:G94"/>
    <mergeCell ref="A95:G95"/>
    <mergeCell ref="A96:G96"/>
    <mergeCell ref="A97:G97"/>
    <mergeCell ref="A98:G98"/>
    <mergeCell ref="A99:G99"/>
    <mergeCell ref="E290:F290"/>
    <mergeCell ref="E291:F291"/>
    <mergeCell ref="E292:F292"/>
    <mergeCell ref="G317:I317"/>
    <mergeCell ref="A253:D253"/>
    <mergeCell ref="B261:I261"/>
    <mergeCell ref="G324:I324"/>
    <mergeCell ref="G329:I329"/>
    <mergeCell ref="G325:I325"/>
    <mergeCell ref="G327:I327"/>
    <mergeCell ref="E264:F264"/>
    <mergeCell ref="A311:I311"/>
    <mergeCell ref="A329:C329"/>
    <mergeCell ref="A325:C325"/>
    <mergeCell ref="A328:C328"/>
    <mergeCell ref="A327:C327"/>
    <mergeCell ref="A316:C316"/>
    <mergeCell ref="A317:C317"/>
    <mergeCell ref="A318:C318"/>
    <mergeCell ref="A321:C321"/>
    <mergeCell ref="G322:I322"/>
    <mergeCell ref="A322:C322"/>
    <mergeCell ref="A323:C323"/>
    <mergeCell ref="A324:C324"/>
    <mergeCell ref="E278:F278"/>
    <mergeCell ref="E279:F279"/>
    <mergeCell ref="E280:F280"/>
    <mergeCell ref="E281:F281"/>
    <mergeCell ref="A331:I331"/>
    <mergeCell ref="E276:F276"/>
    <mergeCell ref="E265:F265"/>
    <mergeCell ref="E266:F266"/>
    <mergeCell ref="E267:F267"/>
    <mergeCell ref="E268:F268"/>
    <mergeCell ref="E269:F269"/>
    <mergeCell ref="E270:F270"/>
    <mergeCell ref="G318:I318"/>
    <mergeCell ref="G321:I321"/>
    <mergeCell ref="G319:I319"/>
    <mergeCell ref="G320:I320"/>
    <mergeCell ref="G326:I326"/>
    <mergeCell ref="A303:E303"/>
    <mergeCell ref="A304:E304"/>
    <mergeCell ref="G301:I301"/>
    <mergeCell ref="E282:F282"/>
    <mergeCell ref="E271:F271"/>
    <mergeCell ref="E272:F272"/>
    <mergeCell ref="E289:F289"/>
    <mergeCell ref="A232:D232"/>
    <mergeCell ref="A234:D234"/>
    <mergeCell ref="A235:D235"/>
    <mergeCell ref="A230:D230"/>
    <mergeCell ref="A231:D231"/>
    <mergeCell ref="A237:D237"/>
    <mergeCell ref="A236:D236"/>
    <mergeCell ref="A238:D238"/>
    <mergeCell ref="E231:F231"/>
    <mergeCell ref="A307:E307"/>
    <mergeCell ref="G306:I306"/>
    <mergeCell ref="G307:I307"/>
    <mergeCell ref="A319:C319"/>
    <mergeCell ref="A320:C320"/>
    <mergeCell ref="G305:I305"/>
    <mergeCell ref="A242:D242"/>
    <mergeCell ref="H260:I260"/>
    <mergeCell ref="A252:D252"/>
    <mergeCell ref="E273:F273"/>
    <mergeCell ref="E274:F274"/>
    <mergeCell ref="E262:F262"/>
    <mergeCell ref="A246:D246"/>
    <mergeCell ref="A247:D247"/>
    <mergeCell ref="A248:D248"/>
    <mergeCell ref="A249:D249"/>
    <mergeCell ref="A250:D250"/>
    <mergeCell ref="A251:D251"/>
    <mergeCell ref="G303:I303"/>
    <mergeCell ref="G304:I304"/>
    <mergeCell ref="A302:E302"/>
    <mergeCell ref="E293:F293"/>
    <mergeCell ref="E294:F294"/>
    <mergeCell ref="E277:F277"/>
    <mergeCell ref="G228:I228"/>
    <mergeCell ref="G220:H220"/>
    <mergeCell ref="G230:H230"/>
    <mergeCell ref="G237:I237"/>
    <mergeCell ref="A239:D239"/>
    <mergeCell ref="A229:D229"/>
    <mergeCell ref="G323:I323"/>
    <mergeCell ref="A326:C326"/>
    <mergeCell ref="A301:E301"/>
    <mergeCell ref="B296:C296"/>
    <mergeCell ref="E283:F283"/>
    <mergeCell ref="E284:F284"/>
    <mergeCell ref="E285:F285"/>
    <mergeCell ref="E286:F286"/>
    <mergeCell ref="E287:F287"/>
    <mergeCell ref="E288:F288"/>
    <mergeCell ref="A305:E305"/>
    <mergeCell ref="A299:E299"/>
    <mergeCell ref="A300:E300"/>
    <mergeCell ref="A314:C314"/>
    <mergeCell ref="A315:C315"/>
    <mergeCell ref="G314:I314"/>
    <mergeCell ref="G315:I315"/>
    <mergeCell ref="A306:E306"/>
    <mergeCell ref="A26:I26"/>
    <mergeCell ref="E28:F28"/>
    <mergeCell ref="E27:F27"/>
    <mergeCell ref="E29:F29"/>
    <mergeCell ref="A25:H25"/>
    <mergeCell ref="F34:H34"/>
    <mergeCell ref="E313:I313"/>
    <mergeCell ref="H310:I310"/>
    <mergeCell ref="A207:D207"/>
    <mergeCell ref="A214:D214"/>
    <mergeCell ref="A210:D210"/>
    <mergeCell ref="A211:D211"/>
    <mergeCell ref="A221:D221"/>
    <mergeCell ref="A228:D228"/>
    <mergeCell ref="A208:D208"/>
    <mergeCell ref="G217:I217"/>
    <mergeCell ref="A227:D227"/>
    <mergeCell ref="G227:I227"/>
    <mergeCell ref="A225:D225"/>
    <mergeCell ref="A226:D226"/>
    <mergeCell ref="A222:D222"/>
    <mergeCell ref="A224:D224"/>
    <mergeCell ref="A220:D220"/>
    <mergeCell ref="G218:I218"/>
    <mergeCell ref="A31:D31"/>
    <mergeCell ref="A41:D41"/>
    <mergeCell ref="E41:F41"/>
    <mergeCell ref="A39:D39"/>
    <mergeCell ref="A36:D36"/>
    <mergeCell ref="E31:F31"/>
    <mergeCell ref="E30:F30"/>
    <mergeCell ref="A34:D34"/>
    <mergeCell ref="B13:I13"/>
    <mergeCell ref="B14:I14"/>
    <mergeCell ref="B15:I15"/>
    <mergeCell ref="B16:I16"/>
    <mergeCell ref="B17:I17"/>
    <mergeCell ref="B18:I18"/>
    <mergeCell ref="F40:I40"/>
    <mergeCell ref="A32:D32"/>
    <mergeCell ref="A33:D33"/>
    <mergeCell ref="F32:H32"/>
    <mergeCell ref="F33:H33"/>
    <mergeCell ref="A27:D27"/>
    <mergeCell ref="A29:D29"/>
    <mergeCell ref="A30:D30"/>
    <mergeCell ref="H21:I21"/>
    <mergeCell ref="A28:D28"/>
    <mergeCell ref="A64:G64"/>
    <mergeCell ref="A65:G65"/>
    <mergeCell ref="A66:G66"/>
    <mergeCell ref="A67:G67"/>
    <mergeCell ref="A68:G68"/>
    <mergeCell ref="A69:G69"/>
    <mergeCell ref="A70:G70"/>
    <mergeCell ref="A35:D35"/>
    <mergeCell ref="F35:H35"/>
    <mergeCell ref="A43:D43"/>
    <mergeCell ref="E43:H43"/>
    <mergeCell ref="A74:G74"/>
    <mergeCell ref="A75:G75"/>
    <mergeCell ref="A76:G76"/>
    <mergeCell ref="A77:G77"/>
    <mergeCell ref="A78:G78"/>
    <mergeCell ref="A180:E180"/>
    <mergeCell ref="A181:E181"/>
    <mergeCell ref="A79:G79"/>
    <mergeCell ref="A42:E42"/>
    <mergeCell ref="F42:I42"/>
    <mergeCell ref="A174:E174"/>
    <mergeCell ref="A175:E175"/>
    <mergeCell ref="A45:E45"/>
    <mergeCell ref="F44:I44"/>
    <mergeCell ref="F45:I45"/>
    <mergeCell ref="A149:I149"/>
    <mergeCell ref="A148:I148"/>
    <mergeCell ref="H147:I147"/>
    <mergeCell ref="A44:E44"/>
    <mergeCell ref="A100:G100"/>
    <mergeCell ref="A101:G101"/>
    <mergeCell ref="A102:G102"/>
    <mergeCell ref="A103:G103"/>
    <mergeCell ref="A104:G104"/>
    <mergeCell ref="A157:J157"/>
    <mergeCell ref="F184:I184"/>
    <mergeCell ref="A188:E188"/>
    <mergeCell ref="A189:E189"/>
    <mergeCell ref="A158:E158"/>
    <mergeCell ref="A159:E159"/>
    <mergeCell ref="A160:E160"/>
    <mergeCell ref="A161:E161"/>
    <mergeCell ref="A71:G71"/>
    <mergeCell ref="A183:E183"/>
    <mergeCell ref="A164:E164"/>
    <mergeCell ref="A165:E165"/>
    <mergeCell ref="A166:E166"/>
    <mergeCell ref="A169:E169"/>
    <mergeCell ref="A170:E170"/>
    <mergeCell ref="A171:E171"/>
    <mergeCell ref="A172:E172"/>
    <mergeCell ref="A173:E173"/>
    <mergeCell ref="A167:E167"/>
    <mergeCell ref="A162:E162"/>
    <mergeCell ref="A163:E163"/>
    <mergeCell ref="A178:E178"/>
    <mergeCell ref="A72:G72"/>
    <mergeCell ref="A73:G73"/>
    <mergeCell ref="A218:D218"/>
    <mergeCell ref="F162:I162"/>
    <mergeCell ref="A212:J212"/>
    <mergeCell ref="A184:E184"/>
    <mergeCell ref="A202:D202"/>
    <mergeCell ref="A204:D204"/>
    <mergeCell ref="A206:D206"/>
    <mergeCell ref="A205:D205"/>
    <mergeCell ref="A203:D203"/>
    <mergeCell ref="A216:D216"/>
    <mergeCell ref="A217:D217"/>
    <mergeCell ref="G216:I216"/>
    <mergeCell ref="A209:D209"/>
    <mergeCell ref="A185:E185"/>
    <mergeCell ref="A186:E186"/>
    <mergeCell ref="A187:E187"/>
    <mergeCell ref="A215:D215"/>
    <mergeCell ref="A182:E182"/>
  </mergeCells>
  <phoneticPr fontId="0" type="noConversion"/>
  <conditionalFormatting sqref="A145 G145:I145">
    <cfRule type="expression" dxfId="416" priority="62" stopIfTrue="1">
      <formula>$P145="BG"</formula>
    </cfRule>
    <cfRule type="expression" dxfId="415" priority="61" stopIfTrue="1">
      <formula>$P145="B"</formula>
    </cfRule>
  </conditionalFormatting>
  <conditionalFormatting sqref="A264:A294">
    <cfRule type="expression" dxfId="414" priority="71" stopIfTrue="1">
      <formula>WEEKDAY(A264,2)&gt;5</formula>
    </cfRule>
    <cfRule type="expression" dxfId="413" priority="70" stopIfTrue="1">
      <formula>R264=1</formula>
    </cfRule>
  </conditionalFormatting>
  <conditionalFormatting sqref="A216:D216">
    <cfRule type="expression" dxfId="412" priority="52" stopIfTrue="1">
      <formula>$O216&lt;1</formula>
    </cfRule>
  </conditionalFormatting>
  <conditionalFormatting sqref="A217:D217">
    <cfRule type="expression" dxfId="411" priority="51">
      <formula>$S$216=9</formula>
    </cfRule>
  </conditionalFormatting>
  <conditionalFormatting sqref="A217:D225 E213:I220 E222:I230 A234:I240 F154:J154 A155 F155:I155 A202:I211 A212 A213:D215 E221 G221:I221 E231 G231:I232 A241:E241 G241:I241 A242:I242 A244:I258 A315:I329">
    <cfRule type="expression" dxfId="410" priority="57" stopIfTrue="1">
      <formula>$O154&lt;1</formula>
    </cfRule>
  </conditionalFormatting>
  <conditionalFormatting sqref="A226:D232">
    <cfRule type="expression" dxfId="409" priority="4" stopIfTrue="1">
      <formula>$O226&lt;1</formula>
    </cfRule>
  </conditionalFormatting>
  <conditionalFormatting sqref="A227:D227">
    <cfRule type="expression" dxfId="408" priority="3">
      <formula>$S$226=9</formula>
    </cfRule>
  </conditionalFormatting>
  <conditionalFormatting sqref="A236:D236">
    <cfRule type="expression" dxfId="407" priority="44" stopIfTrue="1">
      <formula>$O236&lt;1</formula>
    </cfRule>
  </conditionalFormatting>
  <conditionalFormatting sqref="A237:D237">
    <cfRule type="expression" dxfId="406" priority="43">
      <formula>$S$216=9</formula>
    </cfRule>
  </conditionalFormatting>
  <conditionalFormatting sqref="A237:D242 A243">
    <cfRule type="expression" dxfId="405" priority="45" stopIfTrue="1">
      <formula>$O237&lt;1</formula>
    </cfRule>
  </conditionalFormatting>
  <conditionalFormatting sqref="A190:E191">
    <cfRule type="expression" dxfId="404" priority="323" stopIfTrue="1">
      <formula>$O188&lt;1</formula>
    </cfRule>
  </conditionalFormatting>
  <conditionalFormatting sqref="A192:E193">
    <cfRule type="expression" dxfId="403" priority="433" stopIfTrue="1">
      <formula>$O189&lt;1</formula>
    </cfRule>
  </conditionalFormatting>
  <conditionalFormatting sqref="A194:E198">
    <cfRule type="expression" dxfId="402" priority="53" stopIfTrue="1">
      <formula>$O193&lt;1</formula>
    </cfRule>
  </conditionalFormatting>
  <conditionalFormatting sqref="A28:I30">
    <cfRule type="expression" dxfId="401" priority="79" stopIfTrue="1">
      <formula>NOT(VLOOKUP($I$25,A_JaNein_Auswahl,2)=2)</formula>
    </cfRule>
  </conditionalFormatting>
  <conditionalFormatting sqref="A28:I45">
    <cfRule type="expression" dxfId="400" priority="80" stopIfTrue="1">
      <formula>NOT($Q$24)</formula>
    </cfRule>
  </conditionalFormatting>
  <conditionalFormatting sqref="A34:I34">
    <cfRule type="expression" dxfId="399" priority="85" stopIfTrue="1">
      <formula>NOT($Q$213)</formula>
    </cfRule>
  </conditionalFormatting>
  <conditionalFormatting sqref="A35:I35">
    <cfRule type="expression" dxfId="398" priority="87" stopIfTrue="1">
      <formula>NOT($Q$213)</formula>
    </cfRule>
  </conditionalFormatting>
  <conditionalFormatting sqref="A63:J144">
    <cfRule type="expression" dxfId="397" priority="11" stopIfTrue="1">
      <formula>$P63="BG"</formula>
    </cfRule>
    <cfRule type="expression" dxfId="396" priority="10" stopIfTrue="1">
      <formula>$P63="B"</formula>
    </cfRule>
    <cfRule type="expression" dxfId="395" priority="12" stopIfTrue="1">
      <formula>$P63="K"</formula>
    </cfRule>
  </conditionalFormatting>
  <conditionalFormatting sqref="B264:D294">
    <cfRule type="expression" dxfId="394" priority="241" stopIfTrue="1">
      <formula>AND($AE264&gt;3,$BU264=1)</formula>
    </cfRule>
  </conditionalFormatting>
  <conditionalFormatting sqref="B264:F294">
    <cfRule type="expression" dxfId="393" priority="28" stopIfTrue="1">
      <formula>$AE264=3</formula>
    </cfRule>
    <cfRule type="expression" dxfId="392" priority="30" stopIfTrue="1">
      <formula>OR($AE264=1,$AE264=2,$R264=1)</formula>
    </cfRule>
  </conditionalFormatting>
  <conditionalFormatting sqref="E154:E155">
    <cfRule type="expression" dxfId="391" priority="5" stopIfTrue="1">
      <formula>$O154&lt;1</formula>
    </cfRule>
  </conditionalFormatting>
  <conditionalFormatting sqref="E313">
    <cfRule type="expression" dxfId="390" priority="6">
      <formula>OR(D315="Ja",D315="Oui",D316="Ja",D316="Oui")</formula>
    </cfRule>
  </conditionalFormatting>
  <conditionalFormatting sqref="E264:F294">
    <cfRule type="expression" dxfId="389" priority="29" stopIfTrue="1">
      <formula>OR($AE264&gt;3,$AC264=1)</formula>
    </cfRule>
  </conditionalFormatting>
  <conditionalFormatting sqref="F161">
    <cfRule type="expression" dxfId="388" priority="2" stopIfTrue="1">
      <formula>$O161&lt;1</formula>
    </cfRule>
    <cfRule type="expression" dxfId="387" priority="1">
      <formula>S216=9</formula>
    </cfRule>
  </conditionalFormatting>
  <conditionalFormatting sqref="F161:F162">
    <cfRule type="expression" dxfId="386" priority="25">
      <formula>S216=9</formula>
    </cfRule>
  </conditionalFormatting>
  <conditionalFormatting sqref="F172">
    <cfRule type="expression" dxfId="385" priority="24" stopIfTrue="1">
      <formula>$O172&lt;1</formula>
    </cfRule>
    <cfRule type="expression" dxfId="384" priority="23">
      <formula>S225=9</formula>
    </cfRule>
  </conditionalFormatting>
  <conditionalFormatting sqref="F173">
    <cfRule type="expression" dxfId="383" priority="19" stopIfTrue="1">
      <formula>$O173&lt;1</formula>
    </cfRule>
    <cfRule type="expression" dxfId="382" priority="18">
      <formula>S229=9</formula>
    </cfRule>
  </conditionalFormatting>
  <conditionalFormatting sqref="F183">
    <cfRule type="expression" dxfId="381" priority="21">
      <formula>S236=9</formula>
    </cfRule>
  </conditionalFormatting>
  <conditionalFormatting sqref="F184">
    <cfRule type="expression" dxfId="380" priority="17" stopIfTrue="1">
      <formula>$O184&lt;1</formula>
    </cfRule>
    <cfRule type="expression" dxfId="379" priority="16">
      <formula>S241=9</formula>
    </cfRule>
  </conditionalFormatting>
  <conditionalFormatting sqref="F158:I161 F162 F163:I172 A158:E168 A170:E179 A181:E189 F185:I198">
    <cfRule type="expression" dxfId="378" priority="26" stopIfTrue="1">
      <formula>$O158&lt;1</formula>
    </cfRule>
  </conditionalFormatting>
  <conditionalFormatting sqref="F174:I182">
    <cfRule type="expression" dxfId="377" priority="20" stopIfTrue="1">
      <formula>$O174&lt;1</formula>
    </cfRule>
  </conditionalFormatting>
  <conditionalFormatting sqref="F183:I183 E232:F232">
    <cfRule type="expression" dxfId="376" priority="22" stopIfTrue="1">
      <formula>$O184&lt;1</formula>
    </cfRule>
  </conditionalFormatting>
  <conditionalFormatting sqref="F315:I329">
    <cfRule type="expression" dxfId="375" priority="387" stopIfTrue="1">
      <formula>NOT(VLOOKUP($D315,A_JaNein_Auswahl,2,0)=1)</formula>
    </cfRule>
  </conditionalFormatting>
  <conditionalFormatting sqref="G217:I217">
    <cfRule type="expression" dxfId="374" priority="50">
      <formula>$O217&gt;1</formula>
    </cfRule>
  </conditionalFormatting>
  <conditionalFormatting sqref="G227:I227">
    <cfRule type="expression" dxfId="373" priority="46">
      <formula>$O227&gt;1</formula>
    </cfRule>
  </conditionalFormatting>
  <conditionalFormatting sqref="G237:I237">
    <cfRule type="expression" dxfId="372" priority="42">
      <formula>$O237&gt;1</formula>
    </cfRule>
  </conditionalFormatting>
  <conditionalFormatting sqref="G264:I294">
    <cfRule type="expression" dxfId="371" priority="14" stopIfTrue="1">
      <formula>OR($AE264=1,$AE264=2,$R264=1)</formula>
    </cfRule>
  </conditionalFormatting>
  <conditionalFormatting sqref="G295:I295">
    <cfRule type="expression" dxfId="370" priority="15" stopIfTrue="1">
      <formula>SUM($G$295:$I$295)&gt;0</formula>
    </cfRule>
  </conditionalFormatting>
  <conditionalFormatting sqref="I23:I24 A23:H27 I26:I27">
    <cfRule type="expression" dxfId="369" priority="81" stopIfTrue="1">
      <formula>NOT($Q$24)</formula>
    </cfRule>
  </conditionalFormatting>
  <conditionalFormatting sqref="I25">
    <cfRule type="expression" dxfId="368" priority="88" stopIfTrue="1">
      <formula>NOT($Q$24)</formula>
    </cfRule>
  </conditionalFormatting>
  <conditionalFormatting sqref="I32">
    <cfRule type="expression" dxfId="367" priority="83" stopIfTrue="1">
      <formula>NOT($Q$32)</formula>
    </cfRule>
  </conditionalFormatting>
  <conditionalFormatting sqref="I37">
    <cfRule type="expression" dxfId="366" priority="92" stopIfTrue="1">
      <formula>NOT($O$37=1)</formula>
    </cfRule>
  </conditionalFormatting>
  <conditionalFormatting sqref="I38">
    <cfRule type="expression" dxfId="365" priority="90" stopIfTrue="1">
      <formula>NOT($O$38=1)</formula>
    </cfRule>
  </conditionalFormatting>
  <conditionalFormatting sqref="J262:J295">
    <cfRule type="expression" dxfId="364" priority="78" stopIfTrue="1">
      <formula>SUM($G$295:$I$295)&gt;0</formula>
    </cfRule>
  </conditionalFormatting>
  <conditionalFormatting sqref="U264:AE294 BI264:BS294 CA264:CD294 CF264:CF294 CO264:CY294 DA264:DD294 CE264:CE295">
    <cfRule type="cellIs" dxfId="363" priority="74" stopIfTrue="1" operator="equal">
      <formula>0</formula>
    </cfRule>
  </conditionalFormatting>
  <conditionalFormatting sqref="AF264:AF294">
    <cfRule type="expression" dxfId="362" priority="54" stopIfTrue="1">
      <formula>$AE264=3</formula>
    </cfRule>
    <cfRule type="expression" dxfId="361" priority="56" stopIfTrue="1">
      <formula>$AE264&gt;3</formula>
    </cfRule>
    <cfRule type="expression" dxfId="360" priority="55" stopIfTrue="1">
      <formula>OR($AE264=1,$AE264=2)</formula>
    </cfRule>
  </conditionalFormatting>
  <conditionalFormatting sqref="DJ263:DK294 DI264:DI294 DL264:DM294">
    <cfRule type="cellIs" dxfId="359" priority="27" stopIfTrue="1" operator="equal">
      <formula>0</formula>
    </cfRule>
  </conditionalFormatting>
  <dataValidations count="11">
    <dataValidation type="date" allowBlank="1" showInputMessage="1" showErrorMessage="1" sqref="I232" xr:uid="{00000000-0002-0000-0700-000001000000}">
      <formula1>I231</formula1>
      <formula2>I226</formula2>
    </dataValidation>
    <dataValidation type="whole" allowBlank="1" showInputMessage="1" showErrorMessage="1" sqref="D264:D294" xr:uid="{00000000-0002-0000-0700-000002000000}">
      <formula1>0</formula1>
      <formula2>S264</formula2>
    </dataValidation>
    <dataValidation type="date" operator="greaterThanOrEqual" allowBlank="1" showInputMessage="1" showErrorMessage="1" sqref="I225 I215 I235" xr:uid="{00000000-0002-0000-0700-000003000000}">
      <formula1>I214</formula1>
    </dataValidation>
    <dataValidation type="date" operator="greaterThanOrEqual" allowBlank="1" showInputMessage="1" showErrorMessage="1" sqref="I23" xr:uid="{00000000-0002-0000-0700-000004000000}">
      <formula1>H21</formula1>
    </dataValidation>
    <dataValidation type="list" allowBlank="1" showInputMessage="1" showErrorMessage="1" sqref="AI25:AI26 I25:I26 D315:D329" xr:uid="{00000000-0002-0000-0700-000005000000}">
      <formula1>L_JaNein</formula1>
    </dataValidation>
    <dataValidation type="textLength" allowBlank="1" showInputMessage="1" showErrorMessage="1" sqref="G315:I329" xr:uid="{00000000-0002-0000-0700-000006000000}">
      <formula1>0</formula1>
      <formula2>32</formula2>
    </dataValidation>
    <dataValidation type="list" allowBlank="1" showInputMessage="1" showErrorMessage="1" sqref="G228 G218 G238" xr:uid="{00000000-0002-0000-0700-000007000000}">
      <formula1>L_Rückfall</formula1>
    </dataValidation>
    <dataValidation type="list" allowBlank="1" showInputMessage="1" showErrorMessage="1" sqref="G216 G226 G236" xr:uid="{00000000-0002-0000-0700-000008000000}">
      <formula1>L_Arbeitsunfähigkeit_Grund</formula1>
    </dataValidation>
    <dataValidation type="list" allowBlank="1" showInputMessage="1" showErrorMessage="1" sqref="G227:I227 G217:I217 G237:I237" xr:uid="{00000000-0002-0000-0700-000009000000}">
      <formula1>L_ArtUnfall</formula1>
    </dataValidation>
    <dataValidation type="textLength" allowBlank="1" showInputMessage="1" showErrorMessage="1" sqref="F40:I40 F44:I45 F42:I42" xr:uid="{00000000-0002-0000-0700-00000A000000}">
      <formula1>0</formula1>
      <formula2>40</formula2>
    </dataValidation>
    <dataValidation type="custom" allowBlank="1" showInputMessage="1" showErrorMessage="1" sqref="E264:F294" xr:uid="{00000000-0002-0000-0700-00000B000000}">
      <formula1>NOT(U264=1)</formula1>
    </dataValidation>
  </dataValidations>
  <hyperlinks>
    <hyperlink ref="B13:I13" location="Linkziel_M_Eingaben" display="Monatlliche Abrechnung: Geben Sie hier die Informationen ein, um die Lohnabrechnung für diesen Monat zu erstellen" xr:uid="{00000000-0004-0000-0700-000000000000}"/>
    <hyperlink ref="B18:I18" location="Linkziel_M_Korrekturen" display="Korrekturen: Wenn Sie Korrekturen zu einer früheren Lohnabrechnung machen müssen, können Sie diese hier eingeben" xr:uid="{00000000-0004-0000-0700-000001000000}"/>
    <hyperlink ref="B17:I17" location="Linkziel_M_Einsatzrapport" display="Einsatzrapport: Wenn Sie einen Einsatzrapport führen wollen, können Sie hier die Arbeitszeit pro Tag erfassen" xr:uid="{00000000-0004-0000-07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700-000003000000}"/>
    <hyperlink ref="B15:I15" location="Linkziel_M_ASTeK" display="Verrechnung Assistenzbeitrag: Hier finden Sie die Daten für den Übertrag ins ASTeK (bzw. für das Rechnungsformular Assistenzbeitrag, falls Sie das ASTeK nicht verwenden)" xr:uid="{00000000-0004-0000-0700-000004000000}"/>
    <hyperlink ref="B14:I14" location="Linkziel_M_Lohnabrechnung" display="Lohnabrechnung zum Ausdrucken" xr:uid="{00000000-0004-0000-0700-000005000000}"/>
    <hyperlink ref="A5" location="Linkziel_M_Eingaben" display="Linkziel_M_Eingaben" xr:uid="{00000000-0004-0000-0700-000006000000}"/>
    <hyperlink ref="A6" location="Linkziel_M_Lohnabrechnung" display="Linkziel_M_Lohnabrechnung" xr:uid="{00000000-0004-0000-0700-000007000000}"/>
    <hyperlink ref="A7" location="Linkziel_M_ASTeK" display="Linkziel_M_ASTeK" xr:uid="{00000000-0004-0000-0700-000008000000}"/>
    <hyperlink ref="F5" location="Linkziel_M_Abwesenheiten" display="Linkziel_M_Abwesenheiten" xr:uid="{00000000-0004-0000-0700-000009000000}"/>
    <hyperlink ref="F6" location="Linkziel_M_Einsatzrapport" display="Linkziel_M_Einsatzrapport" xr:uid="{00000000-0004-0000-0700-00000A000000}"/>
    <hyperlink ref="F7" location="Linkziel_M_Korrekturen" display="Linkziel_M_Korrekturen" xr:uid="{00000000-0004-0000-0700-00000B000000}"/>
    <hyperlink ref="A16" location="Linkziel_M_Abwesenheiten" display="Linkziel_M_Abwesenheiten" xr:uid="{00000000-0004-0000-0700-00000C000000}"/>
    <hyperlink ref="A17" location="Linkziel_M_Einsatzrapport" display="Linkziel_M_Einsatzrapport" xr:uid="{00000000-0004-0000-0700-00000D000000}"/>
    <hyperlink ref="A18" location="Linkziel_M_Korrekturen" display="Linkziel_M_Korrekturen" xr:uid="{00000000-0004-0000-0700-00000E000000}"/>
    <hyperlink ref="A13" location="Linkziel_M_Eingaben" display="Linkziel_M_Eingaben" xr:uid="{00000000-0004-0000-0700-00000F000000}"/>
    <hyperlink ref="A14" location="Linkziel_M_Lohnabrechnung" display="Linkziel_M_Lohnabrechnung" xr:uid="{00000000-0004-0000-0700-000010000000}"/>
    <hyperlink ref="A15" location="Linkziel_M_ASTeK" display="Linkziel_M_ASTeK" xr:uid="{00000000-0004-0000-0700-000011000000}"/>
    <hyperlink ref="A25:G25" location="Linkziel_M_Einsatzrapport" display="Linkziel_M_Einsatzrapport" xr:uid="{00000000-0004-0000-0700-000012000000}"/>
    <hyperlink ref="H1:I1" location="Intro!A22" display="zurück zum Intro" xr:uid="{00000000-0004-0000-07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16383" man="1"/>
    <brk id="29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outlinePr showOutlineSymbols="0"/>
  </sheetPr>
  <dimension ref="A1:DP470"/>
  <sheetViews>
    <sheetView showGridLines="0" showZeros="0" showOutlineSymbols="0" zoomScale="90" zoomScaleNormal="90" workbookViewId="0"/>
  </sheetViews>
  <sheetFormatPr baseColWidth="10" defaultColWidth="11.33203125" defaultRowHeight="13.2" x14ac:dyDescent="0.25"/>
  <cols>
    <col min="1" max="1" width="10.6640625" style="55" customWidth="1"/>
    <col min="2" max="4" width="5.6640625" style="55" customWidth="1"/>
    <col min="5" max="5" width="18.6640625" style="55" customWidth="1"/>
    <col min="6" max="9" width="10.6640625" style="55" customWidth="1"/>
    <col min="10" max="10" width="13.33203125" style="55" customWidth="1"/>
    <col min="11" max="11" width="10" style="55" hidden="1" customWidth="1"/>
    <col min="12" max="12" width="28.6640625" style="55" hidden="1" customWidth="1"/>
    <col min="13" max="13" width="68" style="55" hidden="1" customWidth="1"/>
    <col min="14" max="14" width="8.33203125" style="55" hidden="1" customWidth="1"/>
    <col min="15" max="15" width="68" style="55" hidden="1" customWidth="1"/>
    <col min="16" max="16" width="34.6640625" style="55" hidden="1" customWidth="1"/>
    <col min="17" max="17" width="31.33203125" style="55" hidden="1" customWidth="1"/>
    <col min="18" max="18" width="50" style="55" hidden="1" customWidth="1"/>
    <col min="19" max="19" width="10.88671875" style="55" hidden="1" customWidth="1"/>
    <col min="20" max="20" width="11.33203125" style="55" hidden="1" customWidth="1"/>
    <col min="21" max="21" width="66.6640625" style="55" hidden="1" customWidth="1"/>
    <col min="22" max="26" width="2" style="55" hidden="1" customWidth="1"/>
    <col min="27" max="27" width="255.6640625" style="55" hidden="1" customWidth="1"/>
    <col min="28" max="28" width="32.6640625" style="55" hidden="1" customWidth="1"/>
    <col min="29" max="29" width="21.88671875" style="55" hidden="1" customWidth="1"/>
    <col min="30" max="30" width="14.6640625" style="55" hidden="1" customWidth="1"/>
    <col min="31" max="31" width="83.33203125" style="55" hidden="1" customWidth="1"/>
    <col min="32" max="32" width="52.33203125" style="55" hidden="1" customWidth="1"/>
    <col min="33" max="33" width="43.33203125" style="55" hidden="1" customWidth="1"/>
    <col min="34" max="34" width="73.33203125" style="55" hidden="1" customWidth="1"/>
    <col min="35" max="35" width="21.88671875" style="55" hidden="1" customWidth="1"/>
    <col min="36" max="36" width="22.6640625" style="55" hidden="1" customWidth="1"/>
    <col min="37" max="37" width="20.33203125" style="55" hidden="1" customWidth="1"/>
    <col min="38" max="38" width="12.109375" style="55" hidden="1" customWidth="1"/>
    <col min="39" max="39" width="18.88671875" style="137" hidden="1" customWidth="1"/>
    <col min="40" max="40" width="11.33203125" style="55" hidden="1" customWidth="1"/>
    <col min="41" max="41" width="19.33203125" style="137" hidden="1" customWidth="1"/>
    <col min="42" max="42" width="17.6640625" style="55" hidden="1" customWidth="1"/>
    <col min="43" max="43" width="14.6640625" style="137" hidden="1" customWidth="1"/>
    <col min="44" max="44" width="14.33203125" style="55" hidden="1" customWidth="1"/>
    <col min="45" max="45" width="3.6640625" style="55" hidden="1" customWidth="1"/>
    <col min="46" max="46" width="31.109375" style="63" hidden="1" customWidth="1"/>
    <col min="47" max="47" width="3.6640625" style="55" hidden="1" customWidth="1"/>
    <col min="48" max="48" width="12.33203125" style="55" hidden="1" customWidth="1"/>
    <col min="49" max="49" width="24.109375" style="55" hidden="1" customWidth="1"/>
    <col min="50" max="50" width="3.6640625" style="55" hidden="1" customWidth="1"/>
    <col min="51" max="51" width="18" style="55" hidden="1" customWidth="1"/>
    <col min="52" max="52" width="3.6640625" style="55" hidden="1" customWidth="1"/>
    <col min="53" max="53" width="12.88671875" style="55" hidden="1" customWidth="1"/>
    <col min="54" max="54" width="17.6640625" style="55" hidden="1" customWidth="1"/>
    <col min="55" max="55" width="32.88671875" style="55" hidden="1" customWidth="1"/>
    <col min="56" max="56" width="3.6640625" style="55" hidden="1" customWidth="1"/>
    <col min="57" max="57" width="12.33203125" style="55" hidden="1" customWidth="1"/>
    <col min="58" max="58" width="3.6640625" style="55" hidden="1" customWidth="1"/>
    <col min="59" max="59" width="12.33203125" style="55" hidden="1" customWidth="1"/>
    <col min="60" max="60" width="3.6640625" style="55" hidden="1" customWidth="1"/>
    <col min="61" max="61" width="41.109375" style="55" hidden="1" customWidth="1"/>
    <col min="62" max="69" width="2" style="55" hidden="1" customWidth="1"/>
    <col min="70" max="70" width="130.33203125" style="55" hidden="1" customWidth="1"/>
    <col min="71" max="71" width="3" style="55" hidden="1" customWidth="1"/>
    <col min="72" max="72" width="3.6640625" style="55" hidden="1" customWidth="1"/>
    <col min="73" max="73" width="97" style="55" hidden="1" customWidth="1"/>
    <col min="74" max="74" width="39.88671875" style="55" hidden="1" customWidth="1"/>
    <col min="75" max="75" width="3.6640625" style="55" hidden="1" customWidth="1"/>
    <col min="76" max="76" width="13.109375" style="55" hidden="1" customWidth="1"/>
    <col min="77" max="77" width="7.6640625" style="55" hidden="1" customWidth="1"/>
    <col min="78" max="78" width="24.33203125" style="55" hidden="1" customWidth="1"/>
    <col min="79" max="79" width="19.6640625" style="55" hidden="1" customWidth="1"/>
    <col min="80" max="80" width="3.6640625" style="55" hidden="1" customWidth="1"/>
    <col min="81" max="81" width="15.33203125" style="55" hidden="1" customWidth="1"/>
    <col min="82" max="82" width="7.6640625" style="55" hidden="1" customWidth="1"/>
    <col min="83" max="83" width="30.88671875" style="55" hidden="1" customWidth="1"/>
    <col min="84" max="84" width="5.6640625" style="55" hidden="1" customWidth="1"/>
    <col min="85" max="85" width="3.6640625" style="55" hidden="1" customWidth="1"/>
    <col min="86" max="86" width="11.88671875" style="55" hidden="1" customWidth="1"/>
    <col min="87" max="87" width="7.6640625" style="55" hidden="1" customWidth="1"/>
    <col min="88" max="88" width="8.88671875" style="55" hidden="1" customWidth="1"/>
    <col min="89" max="91" width="7.33203125" style="55" hidden="1" customWidth="1"/>
    <col min="92" max="92" width="3.6640625" style="55" hidden="1" customWidth="1"/>
    <col min="93" max="93" width="95" style="55" hidden="1" customWidth="1"/>
    <col min="94" max="102" width="2" style="55" hidden="1" customWidth="1"/>
    <col min="103" max="103" width="3" style="55" hidden="1" customWidth="1"/>
    <col min="104" max="104" width="3.6640625" style="55" hidden="1" customWidth="1"/>
    <col min="105" max="105" width="37" style="55" hidden="1" customWidth="1"/>
    <col min="106" max="107" width="8.88671875" style="55" hidden="1" customWidth="1"/>
    <col min="108" max="108" width="8.33203125" style="55" hidden="1" customWidth="1"/>
    <col min="109" max="109" width="29.109375" style="55" hidden="1" customWidth="1"/>
    <col min="110" max="111" width="7.33203125" style="55" hidden="1" customWidth="1"/>
    <col min="112" max="112" width="11.33203125" style="55" hidden="1" customWidth="1"/>
    <col min="113" max="113" width="29" style="55" hidden="1" customWidth="1"/>
    <col min="114" max="115" width="8.88671875" style="55" hidden="1" customWidth="1"/>
    <col min="116" max="116" width="8.33203125" style="55" hidden="1" customWidth="1"/>
    <col min="117" max="117" width="29.109375" style="55" hidden="1" customWidth="1"/>
    <col min="118" max="119" width="7.33203125" style="55" hidden="1" customWidth="1"/>
    <col min="120" max="120" width="11.33203125" style="55" hidden="1" customWidth="1"/>
    <col min="121" max="152" width="11.33203125" style="55" customWidth="1"/>
    <col min="153" max="16384" width="11.33203125" style="55"/>
  </cols>
  <sheetData>
    <row r="1" spans="1:46" ht="18" customHeight="1" x14ac:dyDescent="0.25">
      <c r="A1" s="417" t="str">
        <f ca="1">AA1&amp;" "&amp;TEXT(P1,"MMMM")</f>
        <v>Monatsblatt Juli</v>
      </c>
      <c r="H1" s="450" t="str">
        <f ca="1">INDIRECT(ADDRESS(ROW()+N_Offset_M,COLUMN()+(N_SpracheAuswahl)*26,,,"Text"))</f>
        <v>zurück zum Intro</v>
      </c>
      <c r="I1" s="449"/>
      <c r="O1" s="56" t="s">
        <v>97</v>
      </c>
      <c r="P1" s="309">
        <f>DATE('  B  '!C13,7,1)</f>
        <v>45474</v>
      </c>
      <c r="Q1" s="276"/>
      <c r="R1" s="277" t="s">
        <v>77</v>
      </c>
      <c r="AA1" s="55" t="str">
        <f ca="1">INDIRECT(ADDRESS(ROW()+N_Offset_M,COLUMN(A1)+(N_SpracheAuswahl)*26,,,"Text"))</f>
        <v>Monatsblatt</v>
      </c>
    </row>
    <row r="2" spans="1:46" x14ac:dyDescent="0.25">
      <c r="A2" s="55" t="str">
        <f ca="1">IF(AND(N_Pensum&lt;8/N_WochenAZ_100Prozent,SUM('  B  '!C79,'  B  '!D79)=0,LEN('  B  '!C35)&gt;1),AA2,"")</f>
        <v/>
      </c>
      <c r="P2" s="276">
        <f>DAY(DATE(YEAR(P1),MONTH(P1)+1,0))</f>
        <v>31</v>
      </c>
      <c r="Q2" s="276" t="s">
        <v>73</v>
      </c>
      <c r="R2" s="276"/>
      <c r="AA2" s="55" t="str">
        <f ca="1">INDIRECT(ADDRESS(ROW()+N_Offset_M,COLUMN(A2)+(N_SpracheAuswahl)*26,,,"Text"))</f>
        <v>Warnung: Prämie für Nichtbetriebs-Unfallversicherung in Blatt B noch nicht ausgefüllt</v>
      </c>
    </row>
    <row r="3" spans="1:46" x14ac:dyDescent="0.25">
      <c r="A3" s="55" t="str">
        <f>'  B  '!C34&amp;" "&amp;'  B  '!C35&amp;", "&amp;'  B  '!C40</f>
        <v xml:space="preserve"> , </v>
      </c>
      <c r="P3" s="276" t="str">
        <f>N_Version</f>
        <v>2023 - V2.10</v>
      </c>
      <c r="Q3" s="276" t="s">
        <v>74</v>
      </c>
      <c r="R3" s="276"/>
    </row>
    <row r="4" spans="1:46" ht="8.1" customHeight="1" x14ac:dyDescent="0.25"/>
    <row r="5" spans="1:46" x14ac:dyDescent="0.25">
      <c r="A5" s="457" t="str">
        <f ca="1">B_Zeile&amp;" "&amp;ROW(Linkziel_M_Eingaben)</f>
        <v>Zeile 20</v>
      </c>
      <c r="B5" s="55" t="str">
        <f ca="1">INDIRECT(ADDRESS(ROW()+N_Offset_M,COLUMN()+(N_SpracheAuswahl)*26,,,"Text"))</f>
        <v>Monatliche Abrechnung</v>
      </c>
      <c r="F5" s="458" t="str">
        <f ca="1">B_Zeile&amp;" "&amp;ROW(Linkziel_M_Abwesenheiten)</f>
        <v>Zeile 199</v>
      </c>
      <c r="G5" s="55" t="str">
        <f ca="1">INDIRECT(ADDRESS(ROW()+N_Offset_M,COLUMN()+(N_SpracheAuswahl)*26,,,"Text"))</f>
        <v>Abwesenheiten</v>
      </c>
    </row>
    <row r="6" spans="1:46" x14ac:dyDescent="0.25">
      <c r="A6" s="457" t="str">
        <f ca="1">B_Zeile&amp;" "&amp;ROW(Linkziel_M_Lohnabrechnung)</f>
        <v>Zeile 46</v>
      </c>
      <c r="B6" s="55" t="str">
        <f ca="1">INDIRECT(ADDRESS(ROW()+N_Offset_M,COLUMN()+(N_SpracheAuswahl)*26,,,"Text"))</f>
        <v>Lohnabrechnung zum Ausdrucken</v>
      </c>
      <c r="F6" s="458" t="str">
        <f ca="1">B_Zeile&amp;" "&amp;ROW(Linkziel_M_Einsatzrapport)</f>
        <v>Zeile 259</v>
      </c>
      <c r="G6" s="55" t="str">
        <f ca="1">INDIRECT(ADDRESS(ROW()+N_Offset_M,COLUMN()+(N_SpracheAuswahl)*26,,,"Text"))</f>
        <v>Einsatzrapport</v>
      </c>
    </row>
    <row r="7" spans="1:46" x14ac:dyDescent="0.25">
      <c r="A7" s="458" t="str">
        <f ca="1">B_Zeile&amp;" "&amp;ROW(Linkziel_M_ASTeK)</f>
        <v>Zeile 146</v>
      </c>
      <c r="B7" s="55" t="str">
        <f ca="1">INDIRECT(ADDRESS(ROW()+N_Offset_M,COLUMN()+(N_SpracheAuswahl)*26,,,"Text"))</f>
        <v>Verrechnung Assistenzbeitrag</v>
      </c>
      <c r="F7" s="458" t="str">
        <f ca="1">B_Zeile&amp;" "&amp;ROW(Linkziel_M_Korrekturen)</f>
        <v>Zeile 309</v>
      </c>
      <c r="G7" s="55" t="str">
        <f ca="1">INDIRECT(ADDRESS(ROW()+N_Offset_M,COLUMN()+(N_SpracheAuswahl)*26,,,"Text"))</f>
        <v>Korrekturen</v>
      </c>
    </row>
    <row r="8" spans="1:46" ht="8.1" customHeight="1" x14ac:dyDescent="0.25"/>
    <row r="9" spans="1:46" hidden="1" x14ac:dyDescent="0.25">
      <c r="B9" s="87"/>
    </row>
    <row r="10" spans="1:46" hidden="1" x14ac:dyDescent="0.25"/>
    <row r="11" spans="1:46" s="383" customFormat="1" ht="6.6" x14ac:dyDescent="0.25">
      <c r="A11" s="491" t="s">
        <v>747</v>
      </c>
      <c r="AM11" s="384"/>
      <c r="AO11" s="384"/>
      <c r="AQ11" s="384"/>
    </row>
    <row r="12" spans="1:46" ht="13.8" thickBot="1" x14ac:dyDescent="0.3">
      <c r="A12" s="361" t="str">
        <f ca="1">INDIRECT(ADDRESS(ROW()+N_Offset_M,COLUMN()+(N_SpracheAuswahl)*26,,,"Text"))</f>
        <v>Hinweis:</v>
      </c>
      <c r="B12" s="372" t="str">
        <f ca="1">INDIRECT(ADDRESS(ROW()+N_Offset_M,COLUMN()+(N_SpracheAuswahl)*26,,,"Text"))</f>
        <v>In den leeren Zeilen werden bei Bedarf weitere Informationen und Abfragen eingeblendet</v>
      </c>
    </row>
    <row r="13" spans="1:46" ht="27" customHeight="1" thickBot="1" x14ac:dyDescent="0.3">
      <c r="A13" s="456" t="str">
        <f ca="1">B_Zeile&amp;" "&amp;ROW(Linkziel_M_Eingaben)</f>
        <v>Zeile 20</v>
      </c>
      <c r="B13" s="928" t="str">
        <f t="shared" ref="B13:I18" ca="1" si="0">INDIRECT(ADDRESS(ROW()+N_Offset_M,COLUMN()+(N_SpracheAuswahl)*26,,,"Text"))</f>
        <v>Monatlliche Abrechnung: Geben Sie hier die Informationen ein, um die Lohnabrechnung für diesen Monat zu erstellen</v>
      </c>
      <c r="C13" s="928">
        <f t="shared" ca="1" si="0"/>
        <v>0</v>
      </c>
      <c r="D13" s="928">
        <f t="shared" ca="1" si="0"/>
        <v>0</v>
      </c>
      <c r="E13" s="928">
        <f t="shared" ca="1" si="0"/>
        <v>0</v>
      </c>
      <c r="F13" s="928">
        <f t="shared" ca="1" si="0"/>
        <v>0</v>
      </c>
      <c r="G13" s="928">
        <f t="shared" ca="1" si="0"/>
        <v>0</v>
      </c>
      <c r="H13" s="928">
        <f t="shared" ca="1" si="0"/>
        <v>0</v>
      </c>
      <c r="I13" s="928">
        <f t="shared" ca="1" si="0"/>
        <v>0</v>
      </c>
      <c r="P13" s="56"/>
    </row>
    <row r="14" spans="1:46" ht="13.8" thickBot="1" x14ac:dyDescent="0.3">
      <c r="A14" s="456" t="str">
        <f ca="1">B_Zeile&amp;" "&amp;ROW(Linkziel_M_Lohnabrechnung)</f>
        <v>Zeile 46</v>
      </c>
      <c r="B14" s="928" t="str">
        <f t="shared" ca="1" si="0"/>
        <v>Lohnabrechnung zum Ausdrucken</v>
      </c>
      <c r="C14" s="928">
        <f t="shared" ca="1" si="0"/>
        <v>0</v>
      </c>
      <c r="D14" s="928">
        <f t="shared" ca="1" si="0"/>
        <v>0</v>
      </c>
      <c r="E14" s="928">
        <f t="shared" ca="1" si="0"/>
        <v>0</v>
      </c>
      <c r="F14" s="928">
        <f t="shared" ca="1" si="0"/>
        <v>0</v>
      </c>
      <c r="G14" s="928">
        <f t="shared" ca="1" si="0"/>
        <v>0</v>
      </c>
      <c r="H14" s="928">
        <f t="shared" ca="1" si="0"/>
        <v>0</v>
      </c>
      <c r="I14" s="928">
        <f t="shared" ca="1" si="0"/>
        <v>0</v>
      </c>
      <c r="P14" s="56"/>
    </row>
    <row r="15" spans="1:46" ht="39.9" customHeight="1" thickBot="1" x14ac:dyDescent="0.3">
      <c r="A15" s="456" t="str">
        <f ca="1">B_Zeile&amp;" "&amp;ROW(Linkziel_M_ASTeK)</f>
        <v>Zeile 146</v>
      </c>
      <c r="B15" s="928" t="str">
        <f t="shared" ca="1" si="0"/>
        <v>Verrechnung Assistenzbeitrag: Hier finden Sie die Daten für den Übertrag ins ASTeK (bzw. für das Rechnungsformular Assistenzbeitrag, falls Sie das ASTeK nicht verwenden)</v>
      </c>
      <c r="C15" s="928">
        <f t="shared" ca="1" si="0"/>
        <v>0</v>
      </c>
      <c r="D15" s="928">
        <f t="shared" ca="1" si="0"/>
        <v>0</v>
      </c>
      <c r="E15" s="928">
        <f t="shared" ca="1" si="0"/>
        <v>0</v>
      </c>
      <c r="F15" s="928">
        <f t="shared" ca="1" si="0"/>
        <v>0</v>
      </c>
      <c r="G15" s="928">
        <f t="shared" ca="1" si="0"/>
        <v>0</v>
      </c>
      <c r="H15" s="928">
        <f t="shared" ca="1" si="0"/>
        <v>0</v>
      </c>
      <c r="I15" s="928">
        <f t="shared" ca="1" si="0"/>
        <v>0</v>
      </c>
      <c r="P15" s="56"/>
      <c r="AT15" s="55"/>
    </row>
    <row r="16" spans="1:46" ht="27" customHeight="1" thickBot="1" x14ac:dyDescent="0.3">
      <c r="A16" s="456" t="str">
        <f ca="1">B_Zeile&amp;" "&amp;ROW(Linkziel_M_Abwesenheiten)</f>
        <v>Zeile 199</v>
      </c>
      <c r="B16" s="928" t="str">
        <f t="shared" ca="1" si="0"/>
        <v>Abwesenheiten: Geben Sie hier ein, wenn die Assistenzperson Ferien bezieht, krank ist, oder wenn wegen Heim- / Spitalaufenthalt keine Leistung entgegen genommen werden kann</v>
      </c>
      <c r="C16" s="928">
        <f t="shared" ca="1" si="0"/>
        <v>0</v>
      </c>
      <c r="D16" s="928">
        <f t="shared" ca="1" si="0"/>
        <v>0</v>
      </c>
      <c r="E16" s="928">
        <f t="shared" ca="1" si="0"/>
        <v>0</v>
      </c>
      <c r="F16" s="928">
        <f t="shared" ca="1" si="0"/>
        <v>0</v>
      </c>
      <c r="G16" s="928">
        <f t="shared" ca="1" si="0"/>
        <v>0</v>
      </c>
      <c r="H16" s="928">
        <f t="shared" ca="1" si="0"/>
        <v>0</v>
      </c>
      <c r="I16" s="928">
        <f t="shared" ca="1" si="0"/>
        <v>0</v>
      </c>
      <c r="P16" s="56"/>
      <c r="AT16" s="55"/>
    </row>
    <row r="17" spans="1:46" ht="27" customHeight="1" thickBot="1" x14ac:dyDescent="0.3">
      <c r="A17" s="456" t="str">
        <f ca="1">B_Zeile&amp;" "&amp;ROW(Linkziel_M_Einsatzrapport)</f>
        <v>Zeile 259</v>
      </c>
      <c r="B17" s="928" t="str">
        <f t="shared" ca="1" si="0"/>
        <v>Einsatzrapport: Wenn Sie einen Einsatzrapport führen wollen, können Sie hier die Arbeitszeit pro Tag erfassen</v>
      </c>
      <c r="C17" s="928">
        <f t="shared" ca="1" si="0"/>
        <v>0</v>
      </c>
      <c r="D17" s="928">
        <f t="shared" ca="1" si="0"/>
        <v>0</v>
      </c>
      <c r="E17" s="928">
        <f t="shared" ca="1" si="0"/>
        <v>0</v>
      </c>
      <c r="F17" s="928">
        <f t="shared" ca="1" si="0"/>
        <v>0</v>
      </c>
      <c r="G17" s="928">
        <f t="shared" ca="1" si="0"/>
        <v>0</v>
      </c>
      <c r="H17" s="928">
        <f t="shared" ca="1" si="0"/>
        <v>0</v>
      </c>
      <c r="I17" s="928">
        <f t="shared" ca="1" si="0"/>
        <v>0</v>
      </c>
      <c r="P17" s="56"/>
      <c r="AT17" s="55"/>
    </row>
    <row r="18" spans="1:46" ht="27" customHeight="1" thickBot="1" x14ac:dyDescent="0.3">
      <c r="A18" s="456" t="str">
        <f ca="1">B_Zeile&amp;" "&amp;ROW(Linkziel_M_Korrekturen)</f>
        <v>Zeile 309</v>
      </c>
      <c r="B18" s="928" t="str">
        <f t="shared" ca="1" si="0"/>
        <v>Korrekturen: Wenn Sie Korrekturen zu einer früheren Lohnabrechnung machen müssen, können Sie diese hier eingeben</v>
      </c>
      <c r="C18" s="928">
        <f t="shared" ca="1" si="0"/>
        <v>0</v>
      </c>
      <c r="D18" s="928">
        <f t="shared" ca="1" si="0"/>
        <v>0</v>
      </c>
      <c r="E18" s="928">
        <f t="shared" ca="1" si="0"/>
        <v>0</v>
      </c>
      <c r="F18" s="928">
        <f t="shared" ca="1" si="0"/>
        <v>0</v>
      </c>
      <c r="G18" s="928">
        <f t="shared" ca="1" si="0"/>
        <v>0</v>
      </c>
      <c r="H18" s="928">
        <f t="shared" ca="1" si="0"/>
        <v>0</v>
      </c>
      <c r="I18" s="928">
        <f t="shared" ca="1" si="0"/>
        <v>0</v>
      </c>
      <c r="P18" s="56"/>
      <c r="AT18" s="55"/>
    </row>
    <row r="19" spans="1:46" x14ac:dyDescent="0.25">
      <c r="A19" s="382" t="str">
        <f ca="1">INDIRECT(ADDRESS(ROW()+N_Offset_M,COLUMN()+(N_SpracheAuswahl)*26,,,"Text"))</f>
        <v>Auf diesem Tabellenblatt wird  die Währungseinheit "Franken" mit der Abkürzung "CHF" bezeichnet</v>
      </c>
      <c r="AT19" s="55"/>
    </row>
    <row r="20" spans="1:46" s="497" customFormat="1" ht="15" customHeight="1" x14ac:dyDescent="0.25">
      <c r="A20" s="496" t="str">
        <f ca="1">AA20</f>
        <v>Eingaben für die Erstellung der monatlichen Lohnabrechnung</v>
      </c>
      <c r="I20" s="498" t="str">
        <f ca="1">AI20</f>
        <v>Seite 1</v>
      </c>
      <c r="AA20" s="496" t="str">
        <f ca="1">INDIRECT(ADDRESS(ROW()+N_Offset_M,COLUMN(A20)+(N_SpracheAuswahl)*26,,,"Text"))</f>
        <v>Eingaben für die Erstellung der monatlichen Lohnabrechnung</v>
      </c>
      <c r="AI20" s="498" t="str">
        <f ca="1">INDIRECT(ADDRESS(ROW()+N_Offset_M,COLUMN(I20)+(N_SpracheAuswahl)*26,,,"Text"))</f>
        <v>Seite 1</v>
      </c>
      <c r="AM20" s="499"/>
      <c r="AO20" s="499"/>
      <c r="AQ20" s="499"/>
    </row>
    <row r="21" spans="1:46" x14ac:dyDescent="0.25">
      <c r="A21" s="63" t="str">
        <f>'  B  '!C34&amp;" "&amp;'  B  '!C35&amp;", "&amp;'  B  '!C40</f>
        <v xml:space="preserve"> , </v>
      </c>
      <c r="H21" s="901">
        <f>P1</f>
        <v>45474</v>
      </c>
      <c r="I21" s="902"/>
      <c r="AA21" s="66"/>
      <c r="AI21" s="370"/>
      <c r="AT21" s="55"/>
    </row>
    <row r="22" spans="1:46" x14ac:dyDescent="0.25">
      <c r="A22" s="492" t="str">
        <f ca="1">AA22</f>
        <v>Zahleneingaben in diesem Abschnitt befinden sich in Spalte I, Texteingaben in verbundenen Zellen F bis I</v>
      </c>
      <c r="N22" s="87"/>
      <c r="AA22" s="158" t="str">
        <f ca="1">INDIRECT(ADDRESS(ROW()+N_Offset_M,COLUMN(A22)+(N_SpracheAuswahl)*26,,,"Text"))</f>
        <v>Zahleneingaben in diesem Abschnitt befinden sich in Spalte I, Texteingaben in verbundenen Zellen F bis I</v>
      </c>
      <c r="AT22" s="55"/>
    </row>
    <row r="23" spans="1:46" x14ac:dyDescent="0.25">
      <c r="A23" s="148" t="str">
        <f ca="1">IF(Q24,AA23,AE23)</f>
        <v>Datum der Lohnabrechnung:</v>
      </c>
      <c r="B23" s="148"/>
      <c r="C23" s="148"/>
      <c r="D23" s="148"/>
      <c r="E23" s="148"/>
      <c r="F23" s="148"/>
      <c r="G23" s="148"/>
      <c r="H23" s="177"/>
      <c r="I23" s="185"/>
      <c r="AA23" s="96" t="str">
        <f ca="1">INDIRECT(ADDRESS(ROW()+N_Offset_M,COLUMN(A23)+(N_SpracheAuswahl)*26,,,"Text"))</f>
        <v>Datum der Lohnabrechnung:</v>
      </c>
      <c r="AB23" s="96"/>
      <c r="AC23" s="96"/>
      <c r="AD23" s="96"/>
      <c r="AE23" s="96" t="str">
        <f ca="1">INDIRECT(ADDRESS(ROW()+N_Offset_M,COLUMN(E23)+(N_SpracheAuswahl)*26,,,"Text"))</f>
        <v>ausserhalb Anstellungsdauer</v>
      </c>
      <c r="AF23" s="96"/>
      <c r="AG23" s="96"/>
      <c r="AH23" s="96"/>
      <c r="AI23" s="365"/>
      <c r="AJ23" s="96"/>
      <c r="AK23" s="96"/>
      <c r="AT23" s="55"/>
    </row>
    <row r="24" spans="1:46" x14ac:dyDescent="0.25">
      <c r="O24" s="289">
        <f ca="1">IF(Q$24,1,0)</f>
        <v>1</v>
      </c>
      <c r="P24" s="56" t="s">
        <v>1189</v>
      </c>
      <c r="Q24" s="56" t="b">
        <f ca="1">AND(N_Anstellung_Beginn&lt;(P1+P2),P1&lt;=N_Anstellung_Ende)</f>
        <v>1</v>
      </c>
      <c r="AA24" s="96"/>
      <c r="AB24" s="96"/>
      <c r="AC24" s="96"/>
      <c r="AD24" s="96"/>
      <c r="AE24" s="96"/>
      <c r="AF24" s="96"/>
      <c r="AG24" s="96"/>
      <c r="AH24" s="96"/>
      <c r="AI24" s="96"/>
      <c r="AJ24" s="96"/>
      <c r="AK24" s="96"/>
      <c r="AT24" s="55"/>
    </row>
    <row r="25" spans="1:46" ht="27" customHeight="1" x14ac:dyDescent="0.25">
      <c r="A25" s="939" t="str">
        <f ca="1">IF(O25=0,"",AA25&amp;" "&amp;F6&amp;"? "&amp;AE25)</f>
        <v>Wollen Sie die Leistung im Einsatzrapport erfassen ab Zeile 259? (Auswahl in I25; siehe Hinweis in nächster Zeile)</v>
      </c>
      <c r="B25" s="883"/>
      <c r="C25" s="883"/>
      <c r="D25" s="883"/>
      <c r="E25" s="883"/>
      <c r="F25" s="883"/>
      <c r="G25" s="883"/>
      <c r="H25" s="884"/>
      <c r="I25" s="363" t="str">
        <f ca="1">Text!C5</f>
        <v>Nein</v>
      </c>
      <c r="O25" s="289">
        <f ca="1">IF(Q$24,1,0)</f>
        <v>1</v>
      </c>
      <c r="P25" s="56"/>
      <c r="AA25" s="96" t="str">
        <f t="shared" ref="AA25:AA45" ca="1" si="1">INDIRECT(ADDRESS(ROW()+N_Offset_M,COLUMN(A25)+(N_SpracheAuswahl)*26,,,"Text"))</f>
        <v>Wollen Sie die Leistung im Einsatzrapport erfassen ab</v>
      </c>
      <c r="AB25" s="96"/>
      <c r="AC25" s="96"/>
      <c r="AD25" s="96"/>
      <c r="AE25" s="96" t="str">
        <f ca="1">INDIRECT(ADDRESS(ROW()+N_Offset_M,COLUMN(E25)+(N_SpracheAuswahl)*26,,,"Text"))</f>
        <v>(Auswahl in I25; siehe Hinweis in nächster Zeile)</v>
      </c>
      <c r="AF25" s="96"/>
      <c r="AG25" s="96"/>
      <c r="AH25" s="96"/>
      <c r="AI25" s="366" t="str">
        <f ca="1">INDIRECT(ADDRESS(ROW()+N_Offset_M,COLUMN(I25)+(N_SpracheAuswahl)*26,,,"Text"))</f>
        <v>Nein</v>
      </c>
      <c r="AJ25" s="96"/>
      <c r="AK25" s="96"/>
      <c r="AT25" s="55"/>
    </row>
    <row r="26" spans="1:46" s="1" customFormat="1" ht="27" customHeight="1" x14ac:dyDescent="0.25">
      <c r="A26" s="856" t="str">
        <f ca="1">IF(O26=0,"",AA26)</f>
        <v>Hinweis: Bei "ja" werden die Stunden von Zeile 295 übernommen. Bei  "nein" können Arbeitszeiten gleich in Zeilen 28 bis 30 eingetragen werden.</v>
      </c>
      <c r="B26" s="856"/>
      <c r="C26" s="856"/>
      <c r="D26" s="856"/>
      <c r="E26" s="856"/>
      <c r="F26" s="856"/>
      <c r="G26" s="856"/>
      <c r="H26" s="856"/>
      <c r="I26" s="856"/>
      <c r="O26" s="289">
        <f t="shared" ref="O26:O45" ca="1" si="2">IF(Q$24,1,0)</f>
        <v>1</v>
      </c>
      <c r="AA26" s="96" t="str">
        <f t="shared" ca="1" si="1"/>
        <v>Hinweis: Bei "ja" werden die Stunden von Zeile 295 übernommen. Bei  "nein" können Arbeitszeiten gleich in Zeilen 28 bis 30 eingetragen werden.</v>
      </c>
    </row>
    <row r="27" spans="1:46" s="1" customFormat="1" ht="27" customHeight="1" x14ac:dyDescent="0.25">
      <c r="A27" s="956" t="str">
        <f ca="1">IF(O27=0,"",AA27)</f>
        <v xml:space="preserve">Art der Leistung </v>
      </c>
      <c r="B27" s="956"/>
      <c r="C27" s="956"/>
      <c r="D27" s="956"/>
      <c r="E27" s="938" t="str">
        <f ca="1">IF(O27=0,"",AE27)</f>
        <v>Einheit</v>
      </c>
      <c r="F27" s="938"/>
      <c r="G27" s="589"/>
      <c r="H27" s="590"/>
      <c r="I27" s="591" t="str">
        <f ca="1">IF(O27=0,"",AI27)</f>
        <v>Anzahl</v>
      </c>
      <c r="O27" s="289">
        <f t="shared" ca="1" si="2"/>
        <v>1</v>
      </c>
      <c r="AA27" s="96" t="str">
        <f t="shared" ca="1" si="1"/>
        <v xml:space="preserve">Art der Leistung </v>
      </c>
      <c r="AB27" s="96"/>
      <c r="AC27" s="96"/>
      <c r="AD27" s="96"/>
      <c r="AE27" s="96" t="str">
        <f t="shared" ref="AE27:AF39" ca="1" si="3">INDIRECT(ADDRESS(ROW()+N_Offset_M,COLUMN(E27)+(N_SpracheAuswahl)*26,,,"Text"))</f>
        <v>Einheit</v>
      </c>
      <c r="AF27" s="96"/>
      <c r="AG27" s="367"/>
      <c r="AH27" s="96"/>
      <c r="AI27" s="96" t="str">
        <f ca="1">INDIRECT(ADDRESS(ROW()+N_Offset_M,COLUMN(I27)+(N_SpracheAuswahl)*26,,,"Text"))</f>
        <v>Anzahl</v>
      </c>
      <c r="AJ27" s="96"/>
      <c r="AK27" s="96"/>
      <c r="AM27" s="231"/>
      <c r="AO27" s="231"/>
      <c r="AQ27" s="231"/>
      <c r="AT27" s="8"/>
    </row>
    <row r="28" spans="1:46" x14ac:dyDescent="0.25">
      <c r="A28" s="934" t="str">
        <f ca="1">IF(O28=0,"",IF(NOT(VLOOKUP(I$25,A_JaNein_Auswahl,2)=2),"",AA28))</f>
        <v>Standardqualifikation</v>
      </c>
      <c r="B28" s="934"/>
      <c r="C28" s="934"/>
      <c r="D28" s="934"/>
      <c r="E28" s="933" t="str">
        <f ca="1">IF(O28=0,"",IF(NOT(VLOOKUP(I$25,A_JaNein_Auswahl,2)=2),"",AE28))</f>
        <v>Stunden</v>
      </c>
      <c r="F28" s="933"/>
      <c r="G28" s="57"/>
      <c r="H28" s="57"/>
      <c r="I28" s="176"/>
      <c r="O28" s="289">
        <f t="shared" ca="1" si="2"/>
        <v>1</v>
      </c>
      <c r="P28" s="364">
        <f ca="1">IF(VLOOKUP(I$25,A_JaNein_Auswahl,2)=2,I28,B295)</f>
        <v>0</v>
      </c>
      <c r="AA28" s="55" t="str">
        <f t="shared" ca="1" si="1"/>
        <v>Standardqualifikation</v>
      </c>
      <c r="AE28" s="55" t="str">
        <f t="shared" ca="1" si="3"/>
        <v>Stunden</v>
      </c>
    </row>
    <row r="29" spans="1:46" x14ac:dyDescent="0.25">
      <c r="A29" s="934" t="str">
        <f ca="1">IF(O29=0,"",IF(NOT(VLOOKUP(I$25,A_JaNein_Auswahl,2)=2),"",AA29))</f>
        <v>Qualifikation B</v>
      </c>
      <c r="B29" s="934"/>
      <c r="C29" s="934"/>
      <c r="D29" s="934"/>
      <c r="E29" s="933" t="str">
        <f ca="1">IF(O29=0,"",IF(NOT(VLOOKUP(I$25,A_JaNein_Auswahl,2)=2),"",AE29))</f>
        <v>Stunden</v>
      </c>
      <c r="F29" s="933"/>
      <c r="G29" s="57"/>
      <c r="H29" s="57"/>
      <c r="I29" s="141"/>
      <c r="O29" s="289">
        <f t="shared" ca="1" si="2"/>
        <v>1</v>
      </c>
      <c r="P29" s="364">
        <f ca="1">IF(VLOOKUP(I$25,A_JaNein_Auswahl,2)=2,I29,C295)</f>
        <v>0</v>
      </c>
      <c r="AA29" s="55" t="str">
        <f t="shared" ca="1" si="1"/>
        <v>Qualifikation B</v>
      </c>
      <c r="AE29" s="55" t="str">
        <f t="shared" ca="1" si="3"/>
        <v>Stunden</v>
      </c>
    </row>
    <row r="30" spans="1:46" x14ac:dyDescent="0.25">
      <c r="A30" s="934" t="str">
        <f ca="1">IF(O30=0,"",IF(NOT(VLOOKUP(I$25,A_JaNein_Auswahl,2)=2),"",AA30))</f>
        <v>Nachtdienst</v>
      </c>
      <c r="B30" s="934"/>
      <c r="C30" s="934"/>
      <c r="D30" s="934"/>
      <c r="E30" s="933" t="str">
        <f ca="1">IF(O30=0,"",IF(NOT(VLOOKUP(I$25,A_JaNein_Auswahl,2)=2),"",AE30))</f>
        <v>Nächte</v>
      </c>
      <c r="F30" s="933"/>
      <c r="G30" s="57"/>
      <c r="H30" s="57"/>
      <c r="I30" s="140"/>
      <c r="O30" s="289">
        <f t="shared" ca="1" si="2"/>
        <v>1</v>
      </c>
      <c r="P30" s="364">
        <f ca="1">IF(VLOOKUP(I$25,A_JaNein_Auswahl,2)=2,I30,D295)</f>
        <v>0</v>
      </c>
      <c r="AA30" s="55" t="str">
        <f t="shared" ca="1" si="1"/>
        <v>Nachtdienst</v>
      </c>
      <c r="AE30" s="55" t="str">
        <f t="shared" ca="1" si="3"/>
        <v>Nächte</v>
      </c>
    </row>
    <row r="31" spans="1:46" ht="39.9" customHeight="1" x14ac:dyDescent="0.25">
      <c r="A31" s="935" t="str">
        <f t="shared" ref="A31:A45" ca="1" si="4">IF(O31=0,"",AA31)</f>
        <v>Lohnfortzahlung während Ferien / Arbeitsunfähigkeit</v>
      </c>
      <c r="B31" s="935"/>
      <c r="C31" s="935"/>
      <c r="D31" s="935"/>
      <c r="E31" s="932" t="str">
        <f t="shared" ref="E31:E36" ca="1" si="5">IF(O31=0,"",AE31)</f>
        <v>Stunden, automatisch berechnet aus Abwesenheiten</v>
      </c>
      <c r="F31" s="932"/>
      <c r="G31" s="57"/>
      <c r="H31" s="178"/>
      <c r="I31" s="142">
        <f ca="1">G295</f>
        <v>0</v>
      </c>
      <c r="O31" s="289">
        <f t="shared" ca="1" si="2"/>
        <v>1</v>
      </c>
      <c r="AA31" s="55" t="str">
        <f t="shared" ca="1" si="1"/>
        <v>Lohnfortzahlung während Ferien / Arbeitsunfähigkeit</v>
      </c>
      <c r="AE31" s="55" t="str">
        <f t="shared" ca="1" si="3"/>
        <v>Stunden, automatisch berechnet aus Abwesenheiten</v>
      </c>
    </row>
    <row r="32" spans="1:46" ht="27" hidden="1" customHeight="1" x14ac:dyDescent="0.25">
      <c r="A32" s="935" t="str">
        <f ca="1">IF(O32=0,"",AA32)</f>
        <v/>
      </c>
      <c r="B32" s="935"/>
      <c r="C32" s="935"/>
      <c r="D32" s="935"/>
      <c r="E32" s="92" t="str">
        <f t="shared" ca="1" si="5"/>
        <v/>
      </c>
      <c r="F32" s="936" t="str">
        <f ca="1">IF(O32=0,"",AF32)</f>
        <v/>
      </c>
      <c r="G32" s="936"/>
      <c r="H32" s="936"/>
      <c r="I32" s="142" t="str">
        <f ca="1">IF(Q32,ROUND(2*CI298,1)/2+IF(VLOOKUP('  B  '!C$65,A_JaNein_Auswahl,2,0)=1,ROUND(2*CI298/12,1)/2,0),"")</f>
        <v/>
      </c>
      <c r="O32" s="289">
        <f ca="1">IF(AND(Q$24,Q32),1,0)</f>
        <v>0</v>
      </c>
      <c r="P32" s="604" t="s">
        <v>915</v>
      </c>
      <c r="Q32" s="56" t="b">
        <f ca="1">SUMIF(AE264:AE294,$Z$260)&gt;0</f>
        <v>0</v>
      </c>
      <c r="AA32" s="55" t="str">
        <f t="shared" ca="1" si="1"/>
        <v>Taggelder der Unfallversicherung</v>
      </c>
      <c r="AE32" s="55" t="str">
        <f t="shared" ca="1" si="3"/>
        <v>CHF</v>
      </c>
      <c r="AF32" s="55" t="str">
        <f ca="1">INDIRECT(ADDRESS(ROW()+N_Offset_M,COLUMN(F32)+(N_SpracheAuswahl)*26,,,"Text"))</f>
        <v>Voraussichtliche Leistung der Versicherung für diesen Monat</v>
      </c>
    </row>
    <row r="33" spans="1:43" ht="27" customHeight="1" x14ac:dyDescent="0.25">
      <c r="A33" s="935" t="str">
        <f ca="1">IF(O33=0,"",AA33)</f>
        <v>Taggelder der Unfallversicherung</v>
      </c>
      <c r="B33" s="935"/>
      <c r="C33" s="935"/>
      <c r="D33" s="935"/>
      <c r="E33" s="92" t="str">
        <f t="shared" ca="1" si="5"/>
        <v>CHF</v>
      </c>
      <c r="F33" s="936" t="str">
        <f ca="1">IF(O33=0,"",AF33)</f>
        <v>Auszahlung in diesem Monat</v>
      </c>
      <c r="G33" s="936"/>
      <c r="H33" s="937"/>
      <c r="I33" s="174"/>
      <c r="O33" s="289">
        <f t="shared" ca="1" si="2"/>
        <v>1</v>
      </c>
      <c r="AA33" s="55" t="str">
        <f t="shared" ca="1" si="1"/>
        <v>Taggelder der Unfallversicherung</v>
      </c>
      <c r="AE33" s="55" t="str">
        <f t="shared" ca="1" si="3"/>
        <v>CHF</v>
      </c>
      <c r="AF33" s="55" t="str">
        <f ca="1">INDIRECT(ADDRESS(ROW()+N_Offset_M,COLUMN(F33)+(N_SpracheAuswahl)*26,,,"Text"))</f>
        <v>Auszahlung in diesem Monat</v>
      </c>
    </row>
    <row r="34" spans="1:43" ht="27" hidden="1" customHeight="1" x14ac:dyDescent="0.25">
      <c r="A34" s="935" t="str">
        <f ca="1">IF(O34=0,"",AA34)</f>
        <v/>
      </c>
      <c r="B34" s="935"/>
      <c r="C34" s="935"/>
      <c r="D34" s="935"/>
      <c r="E34" s="92" t="str">
        <f t="shared" ca="1" si="5"/>
        <v/>
      </c>
      <c r="F34" s="936" t="str">
        <f ca="1">IF(O34=0,"",AF34)</f>
        <v/>
      </c>
      <c r="G34" s="936"/>
      <c r="H34" s="936"/>
      <c r="I34" s="142" t="str">
        <f ca="1">IF(Q34,ROUND(2*CH298,1)/2+IF(VLOOKUP('  B  '!C$65,A_JaNein_Auswahl,2,0)=1,ROUND(2*CH298/12,1)/2,0),"")</f>
        <v/>
      </c>
      <c r="O34" s="289">
        <f ca="1">IF(AND(Q$24,Q$213,Q34),1,0)</f>
        <v>0</v>
      </c>
      <c r="P34" s="604" t="s">
        <v>916</v>
      </c>
      <c r="Q34" s="56" t="b">
        <f ca="1">SUMIF(AE264:AE294,$Y$260)&gt;0</f>
        <v>0</v>
      </c>
      <c r="AA34" s="55" t="str">
        <f ca="1">INDIRECT(ADDRESS(ROW()+N_Offset_M,COLUMN(A34)+(N_SpracheAuswahl)*26,,,"Text"))</f>
        <v>Taggelder der Krankenversicherung</v>
      </c>
      <c r="AE34" s="55" t="str">
        <f t="shared" ca="1" si="3"/>
        <v>CHF</v>
      </c>
      <c r="AF34" s="55" t="str">
        <f ca="1">INDIRECT(ADDRESS(ROW()+N_Offset_M,COLUMN(F34)+(N_SpracheAuswahl)*26,,,"Text"))</f>
        <v>Voraussichtliche Leistung der Versicherung für diesen Monat</v>
      </c>
    </row>
    <row r="35" spans="1:43" ht="27" customHeight="1" x14ac:dyDescent="0.25">
      <c r="A35" s="935" t="str">
        <f ca="1">IF(O35=0,"",AA35)</f>
        <v/>
      </c>
      <c r="B35" s="935"/>
      <c r="C35" s="935"/>
      <c r="D35" s="935"/>
      <c r="E35" s="92" t="str">
        <f t="shared" ca="1" si="5"/>
        <v/>
      </c>
      <c r="F35" s="936" t="str">
        <f ca="1">IF(O35=0,"",AF35)</f>
        <v/>
      </c>
      <c r="G35" s="936"/>
      <c r="H35" s="937"/>
      <c r="I35" s="174"/>
      <c r="O35" s="289">
        <f ca="1">IF(AND(Q$24,Q$213),1,0)</f>
        <v>0</v>
      </c>
      <c r="AA35" s="55" t="str">
        <f ca="1">INDIRECT(ADDRESS(ROW()+N_Offset_M,COLUMN(A35)+(N_SpracheAuswahl)*26,,,"Text"))</f>
        <v>Taggelder der Krankenversicherung</v>
      </c>
      <c r="AE35" s="55" t="str">
        <f t="shared" ca="1" si="3"/>
        <v>CHF</v>
      </c>
      <c r="AF35" s="55" t="str">
        <f ca="1">INDIRECT(ADDRESS(ROW()+N_Offset_M,COLUMN(F35)+(N_SpracheAuswahl)*26,,,"Text"))</f>
        <v>Auszahlung in diesem Monat</v>
      </c>
    </row>
    <row r="36" spans="1:43" x14ac:dyDescent="0.25">
      <c r="A36" s="934" t="str">
        <f t="shared" ca="1" si="4"/>
        <v>Überstunden (Auszahlung)</v>
      </c>
      <c r="B36" s="934"/>
      <c r="C36" s="934"/>
      <c r="D36" s="934"/>
      <c r="E36" s="92" t="str">
        <f t="shared" ca="1" si="5"/>
        <v>Stunden</v>
      </c>
      <c r="F36" s="92"/>
      <c r="G36" s="452" t="str">
        <f ca="1">IF(O36=0,"",IF(H36&gt;0,AG36,""))</f>
        <v/>
      </c>
      <c r="H36" s="453">
        <f ca="1">IF(O36=0,"",MAX(0,-SUM(F299:F304)))</f>
        <v>0</v>
      </c>
      <c r="I36" s="140"/>
      <c r="O36" s="289">
        <f t="shared" ca="1" si="2"/>
        <v>1</v>
      </c>
      <c r="AA36" s="55" t="str">
        <f t="shared" ca="1" si="1"/>
        <v>Überstunden (Auszahlung)</v>
      </c>
      <c r="AE36" s="55" t="str">
        <f t="shared" ca="1" si="3"/>
        <v>Stunden</v>
      </c>
      <c r="AG36" s="55" t="str">
        <f ca="1">INDIRECT(ADDRESS(ROW()+N_Offset_M,COLUMN(G36)+(N_SpracheAuswahl)*26,,,"Text"))</f>
        <v>aktueller Stand</v>
      </c>
    </row>
    <row r="37" spans="1:43" x14ac:dyDescent="0.25">
      <c r="A37" s="57" t="str">
        <f t="shared" ca="1" si="4"/>
        <v/>
      </c>
      <c r="B37" s="608"/>
      <c r="C37" s="608"/>
      <c r="D37" s="608"/>
      <c r="E37" s="92"/>
      <c r="F37" s="92" t="str">
        <f ca="1">IF(O37=0,"",AF37)</f>
        <v/>
      </c>
      <c r="G37" s="452"/>
      <c r="H37" s="453"/>
      <c r="I37" s="174"/>
      <c r="O37" s="289">
        <f ca="1">IF(Q$24,IF(VLOOKUP('  B  '!C84,A_JaNein_Auswahl,2,0)=1,1,0),0)</f>
        <v>0</v>
      </c>
      <c r="Q37" s="633">
        <f>ROW()</f>
        <v>37</v>
      </c>
      <c r="AA37" s="55" t="str">
        <f t="shared" ca="1" si="1"/>
        <v>Kinder- / Ausbildungszulage</v>
      </c>
      <c r="AF37" s="55" t="str">
        <f t="shared" ca="1" si="3"/>
        <v>Franken pro Monat</v>
      </c>
    </row>
    <row r="38" spans="1:43" x14ac:dyDescent="0.25">
      <c r="A38" s="57" t="str">
        <f t="shared" ca="1" si="4"/>
        <v/>
      </c>
      <c r="B38" s="608"/>
      <c r="C38" s="608"/>
      <c r="D38" s="608"/>
      <c r="E38" s="92" t="str">
        <f ca="1">IF(O38=0,"",AE38)</f>
        <v/>
      </c>
      <c r="F38" s="92"/>
      <c r="G38" s="452"/>
      <c r="H38" s="453"/>
      <c r="I38" s="618"/>
      <c r="O38" s="289">
        <f ca="1">IF(Q$24,IF(VLOOKUP('  B  '!C85,A_JaNein_Auswahl,2,0)=1,1,0),0)</f>
        <v>0</v>
      </c>
      <c r="Q38" s="633">
        <f>ROW()</f>
        <v>38</v>
      </c>
      <c r="AA38" s="55" t="str">
        <f t="shared" ca="1" si="1"/>
        <v>Quellensteuer</v>
      </c>
      <c r="AE38" s="55" t="str">
        <f t="shared" ca="1" si="3"/>
        <v>Prozent</v>
      </c>
    </row>
    <row r="39" spans="1:43" x14ac:dyDescent="0.25">
      <c r="A39" s="934" t="str">
        <f t="shared" ca="1" si="4"/>
        <v>Kost und Logis</v>
      </c>
      <c r="B39" s="934"/>
      <c r="C39" s="934"/>
      <c r="D39" s="934"/>
      <c r="E39" s="451" t="str">
        <f ca="1">IF(O39=0,"",AE39)</f>
        <v>CHF</v>
      </c>
      <c r="F39" s="619" t="str">
        <f ca="1">IF(O39=0,"",HYPERLINK(OFFSET(Vorgabewerte!A76,N_SpracheAuswahl,0),AF39))</f>
        <v>Merkblatt AHV 2.01</v>
      </c>
      <c r="I39" s="174"/>
      <c r="O39" s="289">
        <f t="shared" ca="1" si="2"/>
        <v>1</v>
      </c>
      <c r="AA39" s="55" t="str">
        <f t="shared" ca="1" si="1"/>
        <v>Kost und Logis</v>
      </c>
      <c r="AE39" s="55" t="str">
        <f t="shared" ca="1" si="3"/>
        <v>CHF</v>
      </c>
      <c r="AF39" s="55" t="str">
        <f ca="1">INDIRECT(ADDRESS(ROW()+N_Offset_M,COLUMN(F39)+(N_SpracheAuswahl)*26,,,"Text"))</f>
        <v>Merkblatt AHV 2.01</v>
      </c>
    </row>
    <row r="40" spans="1:43" x14ac:dyDescent="0.25">
      <c r="A40" s="57" t="str">
        <f t="shared" ca="1" si="4"/>
        <v>Spesen, Beschreibung (40 Zeichen)</v>
      </c>
      <c r="B40" s="57"/>
      <c r="C40" s="57"/>
      <c r="D40" s="57"/>
      <c r="E40" s="178"/>
      <c r="F40" s="929"/>
      <c r="G40" s="929"/>
      <c r="H40" s="929"/>
      <c r="I40" s="929"/>
      <c r="O40" s="289">
        <f t="shared" ca="1" si="2"/>
        <v>1</v>
      </c>
      <c r="AA40" s="55" t="str">
        <f t="shared" ca="1" si="1"/>
        <v>Spesen, Beschreibung (40 Zeichen)</v>
      </c>
    </row>
    <row r="41" spans="1:43" x14ac:dyDescent="0.25">
      <c r="A41" s="930" t="str">
        <f t="shared" ca="1" si="4"/>
        <v>Spesenbetrag</v>
      </c>
      <c r="B41" s="930"/>
      <c r="C41" s="930"/>
      <c r="D41" s="930"/>
      <c r="E41" s="931" t="str">
        <f ca="1">IF(O41=0,"",AE41)</f>
        <v>CHF</v>
      </c>
      <c r="F41" s="931"/>
      <c r="I41" s="175"/>
      <c r="O41" s="289">
        <f t="shared" ca="1" si="2"/>
        <v>1</v>
      </c>
      <c r="AA41" s="55" t="str">
        <f t="shared" ca="1" si="1"/>
        <v>Spesenbetrag</v>
      </c>
      <c r="AE41" s="55" t="str">
        <f ca="1">INDIRECT(ADDRESS(ROW()+N_Offset_M,COLUMN(E41)+(N_SpracheAuswahl)*26,,,"Text"))</f>
        <v>CHF</v>
      </c>
    </row>
    <row r="42" spans="1:43" x14ac:dyDescent="0.25">
      <c r="A42" s="934" t="str">
        <f t="shared" ca="1" si="4"/>
        <v>Weitere Beiträge / Abzüge, Beschreibung (40 Zeichen)</v>
      </c>
      <c r="B42" s="947"/>
      <c r="C42" s="947"/>
      <c r="D42" s="947"/>
      <c r="E42" s="948"/>
      <c r="F42" s="949"/>
      <c r="G42" s="950"/>
      <c r="H42" s="950"/>
      <c r="I42" s="951"/>
      <c r="O42" s="289">
        <f t="shared" ca="1" si="2"/>
        <v>1</v>
      </c>
      <c r="AA42" s="55" t="str">
        <f t="shared" ca="1" si="1"/>
        <v>Weitere Beiträge / Abzüge, Beschreibung (40 Zeichen)</v>
      </c>
    </row>
    <row r="43" spans="1:43" x14ac:dyDescent="0.25">
      <c r="A43" s="930" t="str">
        <f t="shared" ca="1" si="4"/>
        <v>Betrag</v>
      </c>
      <c r="B43" s="947"/>
      <c r="C43" s="947"/>
      <c r="D43" s="947"/>
      <c r="E43" s="891" t="str">
        <f ca="1">IF(O43=0,"",AE43)</f>
        <v>CHF ( Abzüge mit Minuszeichen)</v>
      </c>
      <c r="F43" s="881"/>
      <c r="G43" s="945"/>
      <c r="H43" s="946"/>
      <c r="I43" s="175"/>
      <c r="O43" s="289">
        <f t="shared" ca="1" si="2"/>
        <v>1</v>
      </c>
      <c r="AA43" s="55" t="str">
        <f t="shared" ca="1" si="1"/>
        <v>Betrag</v>
      </c>
      <c r="AE43" s="55" t="str">
        <f ca="1">INDIRECT(ADDRESS(ROW()+N_Offset_M,COLUMN(E43)+(N_SpracheAuswahl)*26,,,"Text"))</f>
        <v>CHF ( Abzüge mit Minuszeichen)</v>
      </c>
    </row>
    <row r="44" spans="1:43" x14ac:dyDescent="0.25">
      <c r="A44" s="952" t="str">
        <f t="shared" ca="1" si="4"/>
        <v>Bemerkung auf Lohnabrechnung, Zeile 1 (40 Zeichen)</v>
      </c>
      <c r="B44" s="947"/>
      <c r="C44" s="947"/>
      <c r="D44" s="947"/>
      <c r="E44" s="948"/>
      <c r="F44" s="949"/>
      <c r="G44" s="950"/>
      <c r="H44" s="950"/>
      <c r="I44" s="951"/>
      <c r="O44" s="289">
        <f t="shared" ca="1" si="2"/>
        <v>1</v>
      </c>
      <c r="AA44" s="55" t="str">
        <f t="shared" ca="1" si="1"/>
        <v>Bemerkung auf Lohnabrechnung, Zeile 1 (40 Zeichen)</v>
      </c>
    </row>
    <row r="45" spans="1:43" x14ac:dyDescent="0.25">
      <c r="A45" s="953" t="str">
        <f t="shared" ca="1" si="4"/>
        <v>Bemerkung auf Lohnabrechnung, Zeile 2 (40 Zeichen)</v>
      </c>
      <c r="B45" s="953"/>
      <c r="C45" s="953"/>
      <c r="D45" s="953"/>
      <c r="E45" s="954"/>
      <c r="F45" s="955"/>
      <c r="G45" s="955"/>
      <c r="H45" s="955"/>
      <c r="I45" s="955"/>
      <c r="O45" s="289">
        <f t="shared" ca="1" si="2"/>
        <v>1</v>
      </c>
      <c r="AA45" s="55" t="str">
        <f t="shared" ca="1" si="1"/>
        <v>Bemerkung auf Lohnabrechnung, Zeile 2 (40 Zeichen)</v>
      </c>
    </row>
    <row r="46" spans="1:43" s="497" customFormat="1" ht="15" customHeight="1" x14ac:dyDescent="0.25">
      <c r="A46" s="496" t="str">
        <f ca="1">INDIRECT(ADDRESS(ROW()+N_Offset_M,COLUMN()+(N_SpracheAuswahl)*26,,,"Text"))</f>
        <v>Lohnabrechnung</v>
      </c>
      <c r="I46" s="498" t="str">
        <f ca="1">INDIRECT(ADDRESS(ROW()+N_Offset_M,COLUMN()+(N_SpracheAuswahl)*26,,,"Text"))</f>
        <v>Seiten 2-3</v>
      </c>
      <c r="AM46" s="499"/>
      <c r="AO46" s="499"/>
      <c r="AQ46" s="499"/>
    </row>
    <row r="47" spans="1:43" x14ac:dyDescent="0.25">
      <c r="A47" s="64" t="str">
        <f ca="1">INDIRECT(ADDRESS(ROW()+N_Offset_M,COLUMN()+(N_SpracheAuswahl)*26,,,"Text"))</f>
        <v>Für Ausdruck: "Drucken" -&gt; "Druckbereich Seite 2 bis 2" -&gt; OK.</v>
      </c>
      <c r="I47" s="370"/>
    </row>
    <row r="48" spans="1:43" x14ac:dyDescent="0.25">
      <c r="A48" s="64" t="str">
        <f ca="1">INDIRECT(ADDRESS(ROW()+N_Offset_M,COLUMN()+(N_SpracheAuswahl)*26,,,"Text"))</f>
        <v>Falls Lohnabrechnung länger als bis Zeile 125, "Druckbereich Seite 2 bis 3" eingeben</v>
      </c>
      <c r="I48" s="370"/>
    </row>
    <row r="49" spans="1:71" x14ac:dyDescent="0.25">
      <c r="A49" s="63"/>
      <c r="B49" s="63"/>
      <c r="C49" s="63"/>
      <c r="D49" s="63"/>
      <c r="E49" s="63"/>
      <c r="F49" s="63"/>
      <c r="G49" s="63"/>
      <c r="H49" s="63"/>
      <c r="I49" s="63"/>
      <c r="J49" s="63"/>
      <c r="K49" s="63"/>
      <c r="L49" s="63"/>
      <c r="P49" s="313" t="s">
        <v>38</v>
      </c>
    </row>
    <row r="50" spans="1:71" x14ac:dyDescent="0.25">
      <c r="A50" s="63" t="str">
        <f>IF(ISERROR(INDEX(A$359:A$457,VLOOKUP(ROW(A50)-ROW(A$49),$J$359:$K$457,2,0),0)),"",INDEX(A$359:A$457,VLOOKUP(ROW(A50)-ROW(A$49),$J$359:$K$457,2,0),0))</f>
        <v xml:space="preserve"> </v>
      </c>
      <c r="B50" s="63"/>
      <c r="C50" s="63"/>
      <c r="D50" s="63"/>
      <c r="E50" s="63"/>
      <c r="F50" s="63"/>
      <c r="G50" s="66" t="str">
        <f ca="1">IF(ISERROR(INDEX(G$359:G$457,VLOOKUP(ROW(G50)-ROW(G$49),$J$359:$K$457,2,0),0)),"",INDEX(G$359:G$457,VLOOKUP(ROW(G50)-ROW(G$49),$J$359:$K$457,2,0),0))</f>
        <v>Lohnabrechnung</v>
      </c>
      <c r="I50" s="63"/>
      <c r="J50" s="63"/>
      <c r="K50" s="63"/>
      <c r="L50" s="63"/>
      <c r="M50" s="55">
        <v>1</v>
      </c>
      <c r="N50" s="87"/>
      <c r="P50" s="313">
        <f t="shared" ref="P50:P81" si="6">IF(ISERROR(INDEX(L$359:L$457,VLOOKUP(ROW(P50)-ROW(P$49),$J$359:$K$457,2,0),0)),"",INDEX(L$359:L$457,VLOOKUP(ROW(P50)-ROW(P$49),$J$359:$K$457,2,0),0))</f>
        <v>0</v>
      </c>
      <c r="AH50" s="137"/>
      <c r="AM50" s="55"/>
      <c r="AO50" s="55"/>
      <c r="AQ50" s="55"/>
      <c r="BS50" s="137"/>
    </row>
    <row r="51" spans="1:71" x14ac:dyDescent="0.25">
      <c r="A51" s="63" t="str">
        <f>IF(ISERROR(INDEX(A$359:A$457,VLOOKUP(ROW(A51)-ROW(A$49),$J$359:$K$457,2,0),0)),"",INDEX(A$359:A$457,VLOOKUP(ROW(A51)-ROW(A$49),$J$359:$K$457,2,0),0))</f>
        <v/>
      </c>
      <c r="B51" s="63"/>
      <c r="C51" s="63"/>
      <c r="D51" s="63"/>
      <c r="E51" s="63"/>
      <c r="F51" s="63"/>
      <c r="G51" s="192" t="str">
        <f>TEXT(IF(ISERROR(INDEX(G$359:G$457,VLOOKUP(ROW(G51)-ROW(G$49),$J$359:$K$457,2,0),0)),"",INDEX(G$359:G$457,VLOOKUP(ROW(G51)-ROW(G$49),$J$359:$K$457,2,0),0)),"MMMM")&amp;" "&amp;YEAR(P1)</f>
        <v>Juli 2024</v>
      </c>
      <c r="I51" s="63"/>
      <c r="J51" s="63"/>
      <c r="K51" s="63"/>
      <c r="L51" s="63"/>
      <c r="M51" s="55">
        <v>2</v>
      </c>
      <c r="N51" s="87"/>
      <c r="P51" s="313">
        <f t="shared" si="6"/>
        <v>0</v>
      </c>
      <c r="AH51" s="137"/>
      <c r="AM51" s="55"/>
      <c r="AO51" s="55"/>
      <c r="AQ51" s="55"/>
      <c r="BS51" s="137"/>
    </row>
    <row r="52" spans="1:71" x14ac:dyDescent="0.25">
      <c r="A52" s="63" t="str">
        <f>IF(ISERROR(INDEX(A$359:A$457,VLOOKUP(ROW(A52)-ROW(A$49),$J$359:$K$457,2,0),0)),"",INDEX(A$359:A$457,VLOOKUP(ROW(A52)-ROW(A$49),$J$359:$K$457,2,0),0))</f>
        <v xml:space="preserve"> </v>
      </c>
      <c r="B52" s="63"/>
      <c r="C52" s="63"/>
      <c r="D52" s="63"/>
      <c r="E52" s="63"/>
      <c r="F52" s="63"/>
      <c r="G52" s="63"/>
      <c r="I52" s="63"/>
      <c r="J52" s="63"/>
      <c r="K52" s="63"/>
      <c r="L52" s="63"/>
      <c r="M52" s="55">
        <v>3</v>
      </c>
      <c r="P52" s="313">
        <f t="shared" si="6"/>
        <v>0</v>
      </c>
      <c r="AH52" s="137"/>
      <c r="AM52" s="55"/>
      <c r="AO52" s="55"/>
      <c r="AQ52" s="55"/>
      <c r="BS52" s="137"/>
    </row>
    <row r="53" spans="1:71" x14ac:dyDescent="0.25">
      <c r="A53" s="63" t="str">
        <f>IF(ISERROR(INDEX(A$359:A$457,VLOOKUP(ROW(A53)-ROW(A$49),$J$359:$K$457,2,0),0)),"",INDEX(A$359:A$457,VLOOKUP(ROW(A53)-ROW(A$49),$J$359:$K$457,2,0),0))</f>
        <v/>
      </c>
      <c r="B53" s="63"/>
      <c r="C53" s="63"/>
      <c r="D53" s="63"/>
      <c r="E53" s="63"/>
      <c r="F53" s="63"/>
      <c r="G53" s="63"/>
      <c r="I53" s="63"/>
      <c r="J53" s="63"/>
      <c r="K53" s="63"/>
      <c r="L53" s="63"/>
      <c r="M53" s="55">
        <v>4</v>
      </c>
      <c r="P53" s="313">
        <f t="shared" si="6"/>
        <v>0</v>
      </c>
      <c r="AH53" s="137"/>
      <c r="AM53" s="55"/>
      <c r="AO53" s="55"/>
      <c r="AQ53" s="55"/>
      <c r="BS53" s="137"/>
    </row>
    <row r="54" spans="1:71" x14ac:dyDescent="0.25">
      <c r="A54" s="63"/>
      <c r="B54" s="63"/>
      <c r="C54" s="63"/>
      <c r="D54" s="63"/>
      <c r="E54" s="63"/>
      <c r="F54" s="63"/>
      <c r="G54" s="63"/>
      <c r="I54" s="63"/>
      <c r="J54" s="63"/>
      <c r="K54" s="63"/>
      <c r="L54" s="63"/>
      <c r="M54" s="55">
        <v>5</v>
      </c>
      <c r="P54" s="313">
        <f t="shared" si="6"/>
        <v>0</v>
      </c>
      <c r="AH54" s="137"/>
      <c r="AM54" s="55"/>
      <c r="AO54" s="55"/>
      <c r="AQ54" s="55"/>
      <c r="BS54" s="137"/>
    </row>
    <row r="55" spans="1:71" x14ac:dyDescent="0.25">
      <c r="A55" s="63"/>
      <c r="B55" s="63"/>
      <c r="C55" s="63"/>
      <c r="D55" s="63"/>
      <c r="E55" s="63"/>
      <c r="F55" s="63"/>
      <c r="G55" s="63" t="str">
        <f>IF(ISERROR(INDEX(G$359:G$457,VLOOKUP(ROW(G55)-ROW(G$49),$J$359:$K$457,2,0),0)),"",INDEX(G$359:G$457,VLOOKUP(ROW(G55)-ROW(G$49),$J$359:$K$457,2,0),0))</f>
        <v/>
      </c>
      <c r="I55" s="63"/>
      <c r="J55" s="63"/>
      <c r="K55" s="63"/>
      <c r="L55" s="63"/>
      <c r="M55" s="55">
        <v>6</v>
      </c>
      <c r="P55" s="313">
        <f t="shared" si="6"/>
        <v>0</v>
      </c>
      <c r="AH55" s="137"/>
      <c r="AM55" s="55"/>
      <c r="AO55" s="55"/>
      <c r="AQ55" s="55"/>
      <c r="BS55" s="137"/>
    </row>
    <row r="56" spans="1:71" x14ac:dyDescent="0.25">
      <c r="A56" s="63"/>
      <c r="B56" s="63"/>
      <c r="C56" s="63"/>
      <c r="D56" s="63"/>
      <c r="E56" s="63"/>
      <c r="F56" s="63"/>
      <c r="G56" s="63" t="str">
        <f>IF(ISERROR(INDEX(G$359:G$457,VLOOKUP(ROW(G56)-ROW(G$49),$J$359:$K$457,2,0),0)),"",INDEX(G$359:G$457,VLOOKUP(ROW(G56)-ROW(G$49),$J$359:$K$457,2,0),0))</f>
        <v xml:space="preserve"> </v>
      </c>
      <c r="I56" s="63"/>
      <c r="J56" s="63"/>
      <c r="K56" s="63"/>
      <c r="L56" s="63"/>
      <c r="M56" s="55">
        <v>7</v>
      </c>
      <c r="P56" s="313">
        <f t="shared" si="6"/>
        <v>0</v>
      </c>
      <c r="AH56" s="137"/>
      <c r="AM56" s="55"/>
      <c r="AO56" s="55"/>
      <c r="AQ56" s="55"/>
      <c r="BS56" s="137"/>
    </row>
    <row r="57" spans="1:71" x14ac:dyDescent="0.25">
      <c r="A57" s="63"/>
      <c r="B57" s="63"/>
      <c r="C57" s="63"/>
      <c r="D57" s="63"/>
      <c r="E57" s="63"/>
      <c r="F57" s="63"/>
      <c r="G57" s="63" t="str">
        <f>IF(ISERROR(INDEX(G$359:G$457,VLOOKUP(ROW(G57)-ROW(G$49),$J$359:$K$457,2,0),0)),"",INDEX(G$359:G$457,VLOOKUP(ROW(G57)-ROW(G$49),$J$359:$K$457,2,0),0))</f>
        <v/>
      </c>
      <c r="I57" s="63"/>
      <c r="J57" s="63"/>
      <c r="K57" s="63"/>
      <c r="L57" s="63"/>
      <c r="M57" s="55">
        <v>8</v>
      </c>
      <c r="P57" s="313">
        <f t="shared" si="6"/>
        <v>0</v>
      </c>
      <c r="AH57" s="137"/>
      <c r="AM57" s="55"/>
      <c r="AO57" s="55"/>
      <c r="AQ57" s="55"/>
      <c r="BS57" s="137"/>
    </row>
    <row r="58" spans="1:71" x14ac:dyDescent="0.25">
      <c r="A58" s="63"/>
      <c r="B58" s="63"/>
      <c r="C58" s="63"/>
      <c r="D58" s="63"/>
      <c r="E58" s="63"/>
      <c r="F58" s="63"/>
      <c r="G58" s="63" t="str">
        <f>IF(ISERROR(INDEX(G$359:G$457,VLOOKUP(ROW(G58)-ROW(G$49),$J$359:$K$457,2,0),0)),"",INDEX(G$359:G$457,VLOOKUP(ROW(G58)-ROW(G$49),$J$359:$K$457,2,0),0))</f>
        <v xml:space="preserve"> </v>
      </c>
      <c r="I58" s="63"/>
      <c r="J58" s="63"/>
      <c r="K58" s="63"/>
      <c r="L58" s="63"/>
      <c r="M58" s="55">
        <v>9</v>
      </c>
      <c r="P58" s="313">
        <f t="shared" si="6"/>
        <v>0</v>
      </c>
      <c r="AH58" s="137"/>
      <c r="AM58" s="55"/>
      <c r="AO58" s="55"/>
      <c r="AQ58" s="55"/>
      <c r="BS58" s="137"/>
    </row>
    <row r="59" spans="1:71" x14ac:dyDescent="0.25">
      <c r="A59" s="63"/>
      <c r="B59" s="63"/>
      <c r="C59" s="63"/>
      <c r="D59" s="63"/>
      <c r="E59" s="63"/>
      <c r="F59" s="63"/>
      <c r="G59" s="63" t="str">
        <f>IF(ISERROR(INDEX(G$359:G$457,VLOOKUP(ROW(G59)-ROW(G$49),$J$359:$K$457,2,0),0)),"",INDEX(G$359:G$457,VLOOKUP(ROW(G59)-ROW(G$49),$J$359:$K$457,2,0),0))</f>
        <v/>
      </c>
      <c r="I59" s="63"/>
      <c r="J59" s="63"/>
      <c r="K59" s="63"/>
      <c r="L59" s="63"/>
      <c r="M59" s="55">
        <v>10</v>
      </c>
      <c r="P59" s="313">
        <f t="shared" si="6"/>
        <v>0</v>
      </c>
      <c r="AH59" s="137"/>
      <c r="AM59" s="55"/>
      <c r="AO59" s="55"/>
      <c r="AQ59" s="55"/>
      <c r="BS59" s="137"/>
    </row>
    <row r="60" spans="1:71" x14ac:dyDescent="0.25">
      <c r="A60" s="63"/>
      <c r="B60" s="63"/>
      <c r="C60" s="63"/>
      <c r="D60" s="63"/>
      <c r="E60" s="63"/>
      <c r="F60" s="63"/>
      <c r="G60" s="63"/>
      <c r="H60" s="63"/>
      <c r="I60" s="63"/>
      <c r="J60" s="63"/>
      <c r="K60" s="63"/>
      <c r="L60" s="63"/>
      <c r="M60" s="55">
        <v>11</v>
      </c>
      <c r="P60" s="313">
        <f t="shared" si="6"/>
        <v>0</v>
      </c>
      <c r="AH60" s="137"/>
      <c r="AM60" s="55"/>
      <c r="AO60" s="55"/>
      <c r="AQ60" s="55"/>
      <c r="BS60" s="137"/>
    </row>
    <row r="61" spans="1:71" x14ac:dyDescent="0.25">
      <c r="A61" s="63" t="str">
        <f t="shared" ref="A61:A92" ca="1" si="7">IF(ISERROR(INDEX(A$359:A$457,VLOOKUP(ROW(A61)-ROW(A$49),$J$359:$K$457,2,0),0)),"",INDEX(A$359:A$457,VLOOKUP(ROW(A61)-ROW(A$49),$J$359:$K$457,2,0),0))</f>
        <v>Abrechnungsdatum</v>
      </c>
      <c r="B61" s="63"/>
      <c r="C61" s="63"/>
      <c r="D61" s="63"/>
      <c r="E61" s="193">
        <f>IF(ISERROR(INDEX(E$359:E$457,VLOOKUP(ROW(E61)-ROW(E$49),$J$359:$K$457,2,0),0)),"",INDEX(E$359:E$457,VLOOKUP(ROW(E61)-ROW(E$49),$J$359:$K$457,2,0),0))</f>
        <v>0</v>
      </c>
      <c r="F61" s="144"/>
      <c r="G61" s="63"/>
      <c r="H61" s="63"/>
      <c r="I61" s="63"/>
      <c r="J61" s="63"/>
      <c r="K61" s="63"/>
      <c r="L61" s="63"/>
      <c r="M61" s="55">
        <v>12</v>
      </c>
      <c r="P61" s="313">
        <f t="shared" si="6"/>
        <v>0</v>
      </c>
      <c r="AH61" s="137"/>
      <c r="AM61" s="55"/>
      <c r="AO61" s="55"/>
      <c r="AQ61" s="55"/>
      <c r="BS61" s="137"/>
    </row>
    <row r="62" spans="1:71" x14ac:dyDescent="0.25">
      <c r="A62" s="63" t="str">
        <f t="shared" ca="1" si="7"/>
        <v>Versichertennummer (AHV-Nr.)</v>
      </c>
      <c r="B62" s="63"/>
      <c r="C62" s="63"/>
      <c r="D62" s="63"/>
      <c r="E62" s="311" t="str">
        <f>IF(ISERROR(INDEX(E$359:E$457,VLOOKUP(ROW(E62)-ROW(E$49),$J$359:$K$457,2,0),0)),"",INDEX(E$359:E$457,VLOOKUP(ROW(E62)-ROW(E$49),$J$359:$K$457,2,0),0))</f>
        <v/>
      </c>
      <c r="F62" s="145"/>
      <c r="G62" s="63"/>
      <c r="H62" s="63"/>
      <c r="I62" s="63"/>
      <c r="J62" s="63"/>
      <c r="K62" s="63"/>
      <c r="L62" s="63"/>
      <c r="M62" s="55">
        <v>13</v>
      </c>
      <c r="P62" s="313">
        <f t="shared" si="6"/>
        <v>0</v>
      </c>
      <c r="AH62" s="137"/>
      <c r="AM62" s="55"/>
      <c r="AO62" s="55"/>
      <c r="AQ62" s="55"/>
      <c r="BS62" s="137"/>
    </row>
    <row r="63" spans="1:71" ht="42.75" customHeight="1" x14ac:dyDescent="0.25">
      <c r="A63" s="190" t="str">
        <f t="shared" ca="1" si="7"/>
        <v>Text</v>
      </c>
      <c r="B63" s="190"/>
      <c r="C63" s="190"/>
      <c r="D63" s="190"/>
      <c r="E63" s="190"/>
      <c r="F63" s="190"/>
      <c r="G63" s="191"/>
      <c r="H63" s="191" t="str">
        <f ca="1">IF(ISERROR(INDEX(G$359:G$457,VLOOKUP(ROW(G63)-ROW(G$49),$J$359:$K$457,2,0),0)),"",INDEX(G$359:G$457,VLOOKUP(ROW(G63)-ROW(G$49),$J$359:$K$457,2,0),0))</f>
        <v>Anzahl / %</v>
      </c>
      <c r="I63" s="191" t="str">
        <f ca="1">IF(ISERROR(INDEX(H$359:H$457,VLOOKUP(ROW(H63)-ROW(H$49),$J$359:$K$457,2,0),0)),"",INDEX(H$359:H$457,VLOOKUP(ROW(H63)-ROW(H$49),$J$359:$K$457,2,0),0))</f>
        <v>Ansatz / Basis</v>
      </c>
      <c r="J63" s="191" t="str">
        <f ca="1">IF(ISERROR(INDEX(I$359:I$457,VLOOKUP(ROW(I63)-ROW(I$49),$J$359:$K$457,2,0),0)),"",INDEX(I$359:I$457,VLOOKUP(ROW(I63)-ROW(I$49),$J$359:$K$457,2,0),0))</f>
        <v>Betrag</v>
      </c>
      <c r="K63" s="63"/>
      <c r="L63" s="63"/>
      <c r="M63" s="55">
        <v>14</v>
      </c>
      <c r="P63" s="313" t="str">
        <f t="shared" ca="1" si="6"/>
        <v>B</v>
      </c>
      <c r="AH63" s="137"/>
      <c r="AM63" s="55"/>
      <c r="AO63" s="55"/>
      <c r="AQ63" s="55"/>
      <c r="BS63" s="137"/>
    </row>
    <row r="64" spans="1:71" x14ac:dyDescent="0.25">
      <c r="A64" s="940">
        <f t="shared" ca="1" si="7"/>
        <v>0</v>
      </c>
      <c r="B64" s="940"/>
      <c r="C64" s="940"/>
      <c r="D64" s="940"/>
      <c r="E64" s="940"/>
      <c r="F64" s="940"/>
      <c r="G64" s="940"/>
      <c r="H64" s="587" t="str">
        <f t="shared" ref="H64:H95" ca="1" si="8">IF(ISERROR(INDEX(G$359:G$457,VLOOKUP(ROW(G64)-ROW(G$49),$J$359:$K$457,2,0),0)),"",IF(INDEX(G$359:G$457,VLOOKUP(ROW(G64)-ROW(G$49),$J$359:$K$457,2,0),0)=0,"",INDEX(G$359:G$457,VLOOKUP(ROW(G64)-ROW(G$49),$J$359:$K$457,2,0),0)))</f>
        <v/>
      </c>
      <c r="I64" s="454">
        <f t="shared" ref="I64:J83" ca="1" si="9">IF(ISERROR(INDEX(H$359:H$457,VLOOKUP(ROW(H64)-ROW(H$49),$J$359:$K$457,2,0),0)),"",INDEX(H$359:H$457,VLOOKUP(ROW(H64)-ROW(H$49),$J$359:$K$457,2,0),0))</f>
        <v>0</v>
      </c>
      <c r="J64" s="454">
        <f t="shared" ca="1" si="9"/>
        <v>0</v>
      </c>
      <c r="K64" s="63"/>
      <c r="L64" s="63"/>
      <c r="M64" s="55">
        <v>15</v>
      </c>
      <c r="N64" s="87"/>
      <c r="P64" s="313">
        <f t="shared" ca="1" si="6"/>
        <v>0</v>
      </c>
      <c r="AH64" s="137"/>
      <c r="AM64" s="55"/>
      <c r="AO64" s="55"/>
      <c r="AQ64" s="55"/>
      <c r="BS64" s="137"/>
    </row>
    <row r="65" spans="1:71" x14ac:dyDescent="0.25">
      <c r="A65" s="924" t="str">
        <f t="shared" ca="1" si="7"/>
        <v>Bruttolohn</v>
      </c>
      <c r="B65" s="924"/>
      <c r="C65" s="924"/>
      <c r="D65" s="924"/>
      <c r="E65" s="924"/>
      <c r="F65" s="924"/>
      <c r="G65" s="924"/>
      <c r="H65" s="587" t="str">
        <f t="shared" ca="1" si="8"/>
        <v/>
      </c>
      <c r="I65" s="454">
        <f t="shared" ca="1" si="9"/>
        <v>0</v>
      </c>
      <c r="J65" s="454">
        <f t="shared" ca="1" si="9"/>
        <v>0</v>
      </c>
      <c r="K65" s="63"/>
      <c r="L65" s="63"/>
      <c r="M65" s="55">
        <v>16</v>
      </c>
      <c r="P65" s="313" t="str">
        <f t="shared" ca="1" si="6"/>
        <v>BG</v>
      </c>
      <c r="AH65" s="137"/>
      <c r="AM65" s="55"/>
      <c r="AO65" s="55"/>
      <c r="AQ65" s="55"/>
      <c r="BS65" s="137"/>
    </row>
    <row r="66" spans="1:71" x14ac:dyDescent="0.25">
      <c r="A66" s="924">
        <f t="shared" ca="1" si="7"/>
        <v>0</v>
      </c>
      <c r="B66" s="924"/>
      <c r="C66" s="924"/>
      <c r="D66" s="924"/>
      <c r="E66" s="924"/>
      <c r="F66" s="924"/>
      <c r="G66" s="924"/>
      <c r="H66" s="587" t="str">
        <f t="shared" ca="1" si="8"/>
        <v/>
      </c>
      <c r="I66" s="454">
        <f t="shared" ca="1" si="9"/>
        <v>0</v>
      </c>
      <c r="J66" s="454">
        <f t="shared" ca="1" si="9"/>
        <v>0</v>
      </c>
      <c r="K66" s="63"/>
      <c r="L66" s="63"/>
      <c r="M66" s="55">
        <v>17</v>
      </c>
      <c r="P66" s="313">
        <f t="shared" ca="1" si="6"/>
        <v>0</v>
      </c>
      <c r="AH66" s="137"/>
      <c r="AM66" s="55"/>
      <c r="AO66" s="55"/>
      <c r="AQ66" s="55"/>
      <c r="BS66" s="137"/>
    </row>
    <row r="67" spans="1:71" x14ac:dyDescent="0.25">
      <c r="A67" s="924" t="str">
        <f t="shared" ca="1" si="7"/>
        <v>Sozialversicherungsabzüge</v>
      </c>
      <c r="B67" s="924"/>
      <c r="C67" s="924"/>
      <c r="D67" s="924"/>
      <c r="E67" s="924"/>
      <c r="F67" s="924"/>
      <c r="G67" s="924"/>
      <c r="H67" s="587" t="str">
        <f t="shared" ca="1" si="8"/>
        <v/>
      </c>
      <c r="I67" s="454">
        <f t="shared" ca="1" si="9"/>
        <v>0</v>
      </c>
      <c r="J67" s="454">
        <f t="shared" ca="1" si="9"/>
        <v>0</v>
      </c>
      <c r="K67" s="63"/>
      <c r="L67" s="63"/>
      <c r="M67" s="55">
        <v>18</v>
      </c>
      <c r="P67" s="313" t="str">
        <f t="shared" ca="1" si="6"/>
        <v>B</v>
      </c>
      <c r="AH67" s="137"/>
      <c r="AM67" s="55"/>
      <c r="AO67" s="55"/>
      <c r="AQ67" s="55"/>
      <c r="BS67" s="137"/>
    </row>
    <row r="68" spans="1:71" x14ac:dyDescent="0.25">
      <c r="A68" s="924">
        <f t="shared" ca="1" si="7"/>
        <v>0</v>
      </c>
      <c r="B68" s="924"/>
      <c r="C68" s="924"/>
      <c r="D68" s="924"/>
      <c r="E68" s="924"/>
      <c r="F68" s="924"/>
      <c r="G68" s="924"/>
      <c r="H68" s="587" t="str">
        <f t="shared" ca="1" si="8"/>
        <v/>
      </c>
      <c r="I68" s="454">
        <f t="shared" ca="1" si="9"/>
        <v>0</v>
      </c>
      <c r="J68" s="454">
        <f t="shared" ca="1" si="9"/>
        <v>0</v>
      </c>
      <c r="K68" s="63"/>
      <c r="L68" s="63"/>
      <c r="M68" s="55">
        <v>19</v>
      </c>
      <c r="P68" s="313">
        <f t="shared" ca="1" si="6"/>
        <v>0</v>
      </c>
      <c r="AH68" s="137"/>
      <c r="AM68" s="55"/>
      <c r="AO68" s="55"/>
      <c r="AQ68" s="55"/>
      <c r="BS68" s="137"/>
    </row>
    <row r="69" spans="1:71" x14ac:dyDescent="0.25">
      <c r="A69" s="924" t="str">
        <f t="shared" ca="1" si="7"/>
        <v>Total Abzüge</v>
      </c>
      <c r="B69" s="924"/>
      <c r="C69" s="924"/>
      <c r="D69" s="924"/>
      <c r="E69" s="924"/>
      <c r="F69" s="924"/>
      <c r="G69" s="924"/>
      <c r="H69" s="587" t="str">
        <f t="shared" ca="1" si="8"/>
        <v/>
      </c>
      <c r="I69" s="454">
        <f t="shared" ca="1" si="9"/>
        <v>0</v>
      </c>
      <c r="J69" s="454">
        <f t="shared" ca="1" si="9"/>
        <v>0</v>
      </c>
      <c r="K69" s="63"/>
      <c r="L69" s="63"/>
      <c r="M69" s="55">
        <v>20</v>
      </c>
      <c r="P69" s="313" t="str">
        <f t="shared" ca="1" si="6"/>
        <v>B</v>
      </c>
      <c r="AH69" s="137"/>
      <c r="AM69" s="55"/>
      <c r="AO69" s="55"/>
      <c r="AQ69" s="55"/>
      <c r="BS69" s="137"/>
    </row>
    <row r="70" spans="1:71" x14ac:dyDescent="0.25">
      <c r="A70" s="924">
        <f t="shared" ca="1" si="7"/>
        <v>0</v>
      </c>
      <c r="B70" s="924"/>
      <c r="C70" s="924"/>
      <c r="D70" s="924"/>
      <c r="E70" s="924"/>
      <c r="F70" s="924"/>
      <c r="G70" s="924"/>
      <c r="H70" s="587" t="str">
        <f t="shared" ca="1" si="8"/>
        <v/>
      </c>
      <c r="I70" s="454">
        <f t="shared" ca="1" si="9"/>
        <v>0</v>
      </c>
      <c r="J70" s="454">
        <f t="shared" ca="1" si="9"/>
        <v>0</v>
      </c>
      <c r="K70" s="63"/>
      <c r="L70" s="63"/>
      <c r="M70" s="55">
        <v>21</v>
      </c>
      <c r="P70" s="313">
        <f t="shared" ca="1" si="6"/>
        <v>0</v>
      </c>
      <c r="AH70" s="137"/>
      <c r="AM70" s="55"/>
      <c r="AO70" s="55"/>
      <c r="AQ70" s="55"/>
      <c r="BS70" s="137"/>
    </row>
    <row r="71" spans="1:71" x14ac:dyDescent="0.25">
      <c r="A71" s="924" t="str">
        <f t="shared" ca="1" si="7"/>
        <v>Nettolohn</v>
      </c>
      <c r="B71" s="924"/>
      <c r="C71" s="924"/>
      <c r="D71" s="924"/>
      <c r="E71" s="924"/>
      <c r="F71" s="924"/>
      <c r="G71" s="924"/>
      <c r="H71" s="587" t="str">
        <f t="shared" ca="1" si="8"/>
        <v/>
      </c>
      <c r="I71" s="454">
        <f t="shared" ca="1" si="9"/>
        <v>0</v>
      </c>
      <c r="J71" s="454">
        <f t="shared" ca="1" si="9"/>
        <v>0</v>
      </c>
      <c r="K71" s="63"/>
      <c r="L71" s="63"/>
      <c r="M71" s="55">
        <v>22</v>
      </c>
      <c r="P71" s="313" t="str">
        <f t="shared" ca="1" si="6"/>
        <v>BG</v>
      </c>
      <c r="AH71" s="137"/>
      <c r="AM71" s="55"/>
      <c r="AO71" s="55"/>
      <c r="AQ71" s="55"/>
      <c r="BS71" s="137"/>
    </row>
    <row r="72" spans="1:71" x14ac:dyDescent="0.25">
      <c r="A72" s="924">
        <f t="shared" ca="1" si="7"/>
        <v>0</v>
      </c>
      <c r="B72" s="924"/>
      <c r="C72" s="924"/>
      <c r="D72" s="924"/>
      <c r="E72" s="924"/>
      <c r="F72" s="924"/>
      <c r="G72" s="924"/>
      <c r="H72" s="587" t="str">
        <f t="shared" ca="1" si="8"/>
        <v/>
      </c>
      <c r="I72" s="454">
        <f t="shared" ca="1" si="9"/>
        <v>0</v>
      </c>
      <c r="J72" s="454">
        <f t="shared" ca="1" si="9"/>
        <v>0</v>
      </c>
      <c r="K72" s="63"/>
      <c r="L72" s="63"/>
      <c r="M72" s="55">
        <v>23</v>
      </c>
      <c r="P72" s="313">
        <f t="shared" ca="1" si="6"/>
        <v>0</v>
      </c>
      <c r="AH72" s="137"/>
      <c r="AM72" s="55"/>
      <c r="AO72" s="55"/>
      <c r="AQ72" s="55"/>
      <c r="BS72" s="137"/>
    </row>
    <row r="73" spans="1:71" x14ac:dyDescent="0.25">
      <c r="A73" s="924" t="str">
        <f t="shared" ca="1" si="7"/>
        <v>Auszahlungsbetrag</v>
      </c>
      <c r="B73" s="924"/>
      <c r="C73" s="924"/>
      <c r="D73" s="924"/>
      <c r="E73" s="924"/>
      <c r="F73" s="924"/>
      <c r="G73" s="924"/>
      <c r="H73" s="587" t="str">
        <f t="shared" ca="1" si="8"/>
        <v/>
      </c>
      <c r="I73" s="454" t="str">
        <f t="shared" ca="1" si="9"/>
        <v>CHF</v>
      </c>
      <c r="J73" s="454">
        <f t="shared" ca="1" si="9"/>
        <v>0</v>
      </c>
      <c r="K73" s="63"/>
      <c r="L73" s="63"/>
      <c r="M73" s="55">
        <v>24</v>
      </c>
      <c r="P73" s="313" t="str">
        <f t="shared" ca="1" si="6"/>
        <v>BG</v>
      </c>
      <c r="AH73" s="137"/>
      <c r="AM73" s="55"/>
      <c r="AO73" s="55"/>
      <c r="AQ73" s="55"/>
      <c r="BS73" s="137"/>
    </row>
    <row r="74" spans="1:71" x14ac:dyDescent="0.25">
      <c r="A74" s="924">
        <f t="shared" ca="1" si="7"/>
        <v>0</v>
      </c>
      <c r="B74" s="924"/>
      <c r="C74" s="924"/>
      <c r="D74" s="924"/>
      <c r="E74" s="924"/>
      <c r="F74" s="924"/>
      <c r="G74" s="924"/>
      <c r="H74" s="587" t="str">
        <f t="shared" ca="1" si="8"/>
        <v/>
      </c>
      <c r="I74" s="454">
        <f t="shared" ca="1" si="9"/>
        <v>0</v>
      </c>
      <c r="J74" s="454">
        <f t="shared" ca="1" si="9"/>
        <v>0</v>
      </c>
      <c r="K74" s="63"/>
      <c r="L74" s="63"/>
      <c r="M74" s="55">
        <v>25</v>
      </c>
      <c r="P74" s="313">
        <f t="shared" ca="1" si="6"/>
        <v>0</v>
      </c>
      <c r="AH74" s="137"/>
      <c r="AM74" s="55"/>
      <c r="AO74" s="55"/>
      <c r="AQ74" s="55"/>
      <c r="BS74" s="137"/>
    </row>
    <row r="75" spans="1:71" x14ac:dyDescent="0.25">
      <c r="A75" s="924" t="str">
        <f t="shared" ca="1" si="7"/>
        <v>Der Betrag wird wie folgt überwiesen:</v>
      </c>
      <c r="B75" s="924"/>
      <c r="C75" s="924"/>
      <c r="D75" s="924"/>
      <c r="E75" s="924"/>
      <c r="F75" s="924"/>
      <c r="G75" s="924"/>
      <c r="H75" s="587" t="str">
        <f t="shared" ca="1" si="8"/>
        <v/>
      </c>
      <c r="I75" s="454">
        <f t="shared" ca="1" si="9"/>
        <v>0</v>
      </c>
      <c r="J75" s="454">
        <f t="shared" ca="1" si="9"/>
        <v>0</v>
      </c>
      <c r="K75" s="63"/>
      <c r="L75" s="63"/>
      <c r="M75" s="55">
        <v>26</v>
      </c>
      <c r="P75" s="313">
        <f t="shared" ca="1" si="6"/>
        <v>0</v>
      </c>
      <c r="AH75" s="137"/>
      <c r="AM75" s="55"/>
      <c r="AO75" s="55"/>
      <c r="AQ75" s="55"/>
      <c r="BS75" s="137"/>
    </row>
    <row r="76" spans="1:71" x14ac:dyDescent="0.25">
      <c r="A76" s="924" t="str">
        <f t="shared" ca="1" si="7"/>
        <v xml:space="preserve">; </v>
      </c>
      <c r="B76" s="924"/>
      <c r="C76" s="924"/>
      <c r="D76" s="924"/>
      <c r="E76" s="924"/>
      <c r="F76" s="924"/>
      <c r="G76" s="924"/>
      <c r="H76" s="587" t="str">
        <f t="shared" ca="1" si="8"/>
        <v/>
      </c>
      <c r="I76" s="454">
        <f t="shared" ca="1" si="9"/>
        <v>0</v>
      </c>
      <c r="J76" s="454">
        <f t="shared" ca="1" si="9"/>
        <v>0</v>
      </c>
      <c r="K76" s="63"/>
      <c r="L76" s="63"/>
      <c r="M76" s="55">
        <v>27</v>
      </c>
      <c r="P76" s="313">
        <f t="shared" ca="1" si="6"/>
        <v>0</v>
      </c>
      <c r="AH76" s="137"/>
      <c r="AM76" s="55"/>
      <c r="AO76" s="55"/>
      <c r="AQ76" s="55"/>
      <c r="BS76" s="137"/>
    </row>
    <row r="77" spans="1:71" x14ac:dyDescent="0.25">
      <c r="A77" s="924">
        <f t="shared" ca="1" si="7"/>
        <v>0</v>
      </c>
      <c r="B77" s="924"/>
      <c r="C77" s="924"/>
      <c r="D77" s="924"/>
      <c r="E77" s="924"/>
      <c r="F77" s="924"/>
      <c r="G77" s="924"/>
      <c r="H77" s="587" t="str">
        <f t="shared" ca="1" si="8"/>
        <v/>
      </c>
      <c r="I77" s="454">
        <f t="shared" ca="1" si="9"/>
        <v>0</v>
      </c>
      <c r="J77" s="454">
        <f t="shared" ca="1" si="9"/>
        <v>0</v>
      </c>
      <c r="K77" s="63"/>
      <c r="L77" s="63"/>
      <c r="M77" s="55">
        <v>28</v>
      </c>
      <c r="P77" s="313">
        <f t="shared" ca="1" si="6"/>
        <v>0</v>
      </c>
      <c r="AH77" s="137"/>
      <c r="AM77" s="55"/>
      <c r="AO77" s="55"/>
      <c r="AQ77" s="55"/>
      <c r="BS77" s="137"/>
    </row>
    <row r="78" spans="1:71" x14ac:dyDescent="0.25">
      <c r="A78" s="924" t="str">
        <f t="shared" ca="1" si="7"/>
        <v xml:space="preserve">Bitte Lohnabrechnung sofort überprüfen und Unstimmigkeiten melden. </v>
      </c>
      <c r="B78" s="924"/>
      <c r="C78" s="924"/>
      <c r="D78" s="924"/>
      <c r="E78" s="924"/>
      <c r="F78" s="924"/>
      <c r="G78" s="924"/>
      <c r="H78" s="587" t="str">
        <f t="shared" ca="1" si="8"/>
        <v/>
      </c>
      <c r="I78" s="454">
        <f t="shared" ca="1" si="9"/>
        <v>0</v>
      </c>
      <c r="J78" s="454">
        <f t="shared" ca="1" si="9"/>
        <v>0</v>
      </c>
      <c r="K78" s="63"/>
      <c r="L78" s="63"/>
      <c r="M78" s="55">
        <v>29</v>
      </c>
      <c r="P78" s="313">
        <f t="shared" ca="1" si="6"/>
        <v>0</v>
      </c>
      <c r="AH78" s="137"/>
      <c r="AM78" s="55"/>
      <c r="AO78" s="55"/>
      <c r="AQ78" s="55"/>
      <c r="BS78" s="137"/>
    </row>
    <row r="79" spans="1:71" x14ac:dyDescent="0.25">
      <c r="A79" s="924" t="str">
        <f t="shared" ca="1" si="7"/>
        <v xml:space="preserve">Danke. </v>
      </c>
      <c r="B79" s="924"/>
      <c r="C79" s="924"/>
      <c r="D79" s="924"/>
      <c r="E79" s="924"/>
      <c r="F79" s="924"/>
      <c r="G79" s="924"/>
      <c r="H79" s="587" t="str">
        <f t="shared" ca="1" si="8"/>
        <v/>
      </c>
      <c r="I79" s="454">
        <f t="shared" ca="1" si="9"/>
        <v>0</v>
      </c>
      <c r="J79" s="454">
        <f t="shared" ca="1" si="9"/>
        <v>0</v>
      </c>
      <c r="K79" s="63"/>
      <c r="L79" s="63"/>
      <c r="M79" s="55">
        <v>30</v>
      </c>
      <c r="P79" s="313">
        <f t="shared" ca="1" si="6"/>
        <v>0</v>
      </c>
      <c r="AH79" s="137"/>
      <c r="AM79" s="55"/>
      <c r="AO79" s="55"/>
      <c r="AQ79" s="55"/>
      <c r="BS79" s="137"/>
    </row>
    <row r="80" spans="1:71" x14ac:dyDescent="0.25">
      <c r="A80" s="924" t="str">
        <f t="shared" ca="1" si="7"/>
        <v/>
      </c>
      <c r="B80" s="924"/>
      <c r="C80" s="924"/>
      <c r="D80" s="924"/>
      <c r="E80" s="924"/>
      <c r="F80" s="924"/>
      <c r="G80" s="924"/>
      <c r="H80" s="587" t="str">
        <f t="shared" ca="1" si="8"/>
        <v/>
      </c>
      <c r="I80" s="454" t="str">
        <f t="shared" ca="1" si="9"/>
        <v/>
      </c>
      <c r="J80" s="454" t="str">
        <f t="shared" ca="1" si="9"/>
        <v/>
      </c>
      <c r="K80" s="63"/>
      <c r="L80" s="63"/>
      <c r="M80" s="55">
        <v>31</v>
      </c>
      <c r="P80" s="313" t="str">
        <f t="shared" ca="1" si="6"/>
        <v/>
      </c>
      <c r="AH80" s="137"/>
      <c r="AM80" s="55"/>
      <c r="AO80" s="55"/>
      <c r="AQ80" s="55"/>
      <c r="BS80" s="137"/>
    </row>
    <row r="81" spans="1:71" x14ac:dyDescent="0.25">
      <c r="A81" s="924" t="str">
        <f t="shared" ca="1" si="7"/>
        <v/>
      </c>
      <c r="B81" s="924"/>
      <c r="C81" s="924"/>
      <c r="D81" s="924"/>
      <c r="E81" s="924"/>
      <c r="F81" s="924"/>
      <c r="G81" s="924"/>
      <c r="H81" s="587" t="str">
        <f t="shared" ca="1" si="8"/>
        <v/>
      </c>
      <c r="I81" s="454" t="str">
        <f t="shared" ca="1" si="9"/>
        <v/>
      </c>
      <c r="J81" s="454" t="str">
        <f t="shared" ca="1" si="9"/>
        <v/>
      </c>
      <c r="K81" s="63"/>
      <c r="L81" s="63"/>
      <c r="M81" s="55">
        <v>32</v>
      </c>
      <c r="P81" s="313" t="str">
        <f t="shared" ca="1" si="6"/>
        <v/>
      </c>
      <c r="AH81" s="137"/>
      <c r="AM81" s="55"/>
      <c r="AO81" s="55"/>
      <c r="AQ81" s="55"/>
      <c r="BS81" s="137"/>
    </row>
    <row r="82" spans="1:71" x14ac:dyDescent="0.25">
      <c r="A82" s="924" t="str">
        <f t="shared" ca="1" si="7"/>
        <v/>
      </c>
      <c r="B82" s="924"/>
      <c r="C82" s="924"/>
      <c r="D82" s="924"/>
      <c r="E82" s="924"/>
      <c r="F82" s="924"/>
      <c r="G82" s="924"/>
      <c r="H82" s="587" t="str">
        <f t="shared" ca="1" si="8"/>
        <v/>
      </c>
      <c r="I82" s="454" t="str">
        <f t="shared" ca="1" si="9"/>
        <v/>
      </c>
      <c r="J82" s="454" t="str">
        <f t="shared" ca="1" si="9"/>
        <v/>
      </c>
      <c r="K82" s="63"/>
      <c r="L82" s="63"/>
      <c r="M82" s="55">
        <v>33</v>
      </c>
      <c r="P82" s="313" t="str">
        <f t="shared" ref="P82:P113" ca="1" si="10">IF(ISERROR(INDEX(L$359:L$457,VLOOKUP(ROW(P82)-ROW(P$49),$J$359:$K$457,2,0),0)),"",INDEX(L$359:L$457,VLOOKUP(ROW(P82)-ROW(P$49),$J$359:$K$457,2,0),0))</f>
        <v/>
      </c>
      <c r="AH82" s="137"/>
      <c r="AM82" s="55"/>
      <c r="AO82" s="55"/>
      <c r="AQ82" s="55"/>
      <c r="BS82" s="137"/>
    </row>
    <row r="83" spans="1:71" x14ac:dyDescent="0.25">
      <c r="A83" s="924" t="str">
        <f t="shared" ca="1" si="7"/>
        <v/>
      </c>
      <c r="B83" s="924"/>
      <c r="C83" s="924"/>
      <c r="D83" s="924"/>
      <c r="E83" s="924"/>
      <c r="F83" s="924"/>
      <c r="G83" s="924"/>
      <c r="H83" s="587" t="str">
        <f t="shared" ca="1" si="8"/>
        <v/>
      </c>
      <c r="I83" s="454" t="str">
        <f t="shared" ca="1" si="9"/>
        <v/>
      </c>
      <c r="J83" s="454" t="str">
        <f t="shared" ca="1" si="9"/>
        <v/>
      </c>
      <c r="K83" s="63"/>
      <c r="L83" s="63"/>
      <c r="M83" s="55">
        <v>34</v>
      </c>
      <c r="P83" s="313" t="str">
        <f t="shared" ca="1" si="10"/>
        <v/>
      </c>
      <c r="AH83" s="137"/>
      <c r="AM83" s="55"/>
      <c r="AO83" s="55"/>
      <c r="AQ83" s="55"/>
      <c r="BS83" s="137"/>
    </row>
    <row r="84" spans="1:71" x14ac:dyDescent="0.25">
      <c r="A84" s="924" t="str">
        <f t="shared" ca="1" si="7"/>
        <v/>
      </c>
      <c r="B84" s="924"/>
      <c r="C84" s="924"/>
      <c r="D84" s="924"/>
      <c r="E84" s="924"/>
      <c r="F84" s="924"/>
      <c r="G84" s="924"/>
      <c r="H84" s="587" t="str">
        <f t="shared" ca="1" si="8"/>
        <v/>
      </c>
      <c r="I84" s="454" t="str">
        <f t="shared" ref="I84:J103" ca="1" si="11">IF(ISERROR(INDEX(H$359:H$457,VLOOKUP(ROW(H84)-ROW(H$49),$J$359:$K$457,2,0),0)),"",INDEX(H$359:H$457,VLOOKUP(ROW(H84)-ROW(H$49),$J$359:$K$457,2,0),0))</f>
        <v/>
      </c>
      <c r="J84" s="454" t="str">
        <f t="shared" ca="1" si="11"/>
        <v/>
      </c>
      <c r="K84" s="63"/>
      <c r="L84" s="63"/>
      <c r="M84" s="55">
        <v>35</v>
      </c>
      <c r="P84" s="313" t="str">
        <f t="shared" ca="1" si="10"/>
        <v/>
      </c>
      <c r="AH84" s="137"/>
      <c r="AM84" s="55"/>
      <c r="AO84" s="55"/>
      <c r="AQ84" s="55"/>
      <c r="BS84" s="137"/>
    </row>
    <row r="85" spans="1:71" x14ac:dyDescent="0.25">
      <c r="A85" s="924" t="str">
        <f t="shared" ca="1" si="7"/>
        <v/>
      </c>
      <c r="B85" s="924"/>
      <c r="C85" s="924"/>
      <c r="D85" s="924"/>
      <c r="E85" s="924"/>
      <c r="F85" s="924"/>
      <c r="G85" s="924"/>
      <c r="H85" s="587" t="str">
        <f t="shared" ca="1" si="8"/>
        <v/>
      </c>
      <c r="I85" s="454" t="str">
        <f t="shared" ca="1" si="11"/>
        <v/>
      </c>
      <c r="J85" s="454" t="str">
        <f t="shared" ca="1" si="11"/>
        <v/>
      </c>
      <c r="K85" s="63"/>
      <c r="L85" s="63"/>
      <c r="M85" s="55">
        <v>36</v>
      </c>
      <c r="P85" s="313" t="str">
        <f t="shared" ca="1" si="10"/>
        <v/>
      </c>
      <c r="AH85" s="137"/>
      <c r="AM85" s="55"/>
      <c r="AO85" s="55"/>
      <c r="AQ85" s="55"/>
      <c r="BS85" s="137"/>
    </row>
    <row r="86" spans="1:71" x14ac:dyDescent="0.25">
      <c r="A86" s="924" t="str">
        <f t="shared" ca="1" si="7"/>
        <v/>
      </c>
      <c r="B86" s="924"/>
      <c r="C86" s="924"/>
      <c r="D86" s="924"/>
      <c r="E86" s="924"/>
      <c r="F86" s="924"/>
      <c r="G86" s="924"/>
      <c r="H86" s="587" t="str">
        <f t="shared" ca="1" si="8"/>
        <v/>
      </c>
      <c r="I86" s="454" t="str">
        <f t="shared" ca="1" si="11"/>
        <v/>
      </c>
      <c r="J86" s="454" t="str">
        <f t="shared" ca="1" si="11"/>
        <v/>
      </c>
      <c r="K86" s="63"/>
      <c r="L86" s="63"/>
      <c r="M86" s="55">
        <v>37</v>
      </c>
      <c r="P86" s="313" t="str">
        <f t="shared" ca="1" si="10"/>
        <v/>
      </c>
      <c r="AH86" s="137"/>
      <c r="AM86" s="55"/>
      <c r="AO86" s="55"/>
      <c r="AQ86" s="55"/>
      <c r="BS86" s="137"/>
    </row>
    <row r="87" spans="1:71" x14ac:dyDescent="0.25">
      <c r="A87" s="924" t="str">
        <f t="shared" ca="1" si="7"/>
        <v/>
      </c>
      <c r="B87" s="924"/>
      <c r="C87" s="924"/>
      <c r="D87" s="924"/>
      <c r="E87" s="924"/>
      <c r="F87" s="924"/>
      <c r="G87" s="924"/>
      <c r="H87" s="587" t="str">
        <f t="shared" ca="1" si="8"/>
        <v/>
      </c>
      <c r="I87" s="454" t="str">
        <f t="shared" ca="1" si="11"/>
        <v/>
      </c>
      <c r="J87" s="454" t="str">
        <f t="shared" ca="1" si="11"/>
        <v/>
      </c>
      <c r="K87" s="63"/>
      <c r="L87" s="63"/>
      <c r="M87" s="55">
        <v>38</v>
      </c>
      <c r="P87" s="313" t="str">
        <f t="shared" ca="1" si="10"/>
        <v/>
      </c>
      <c r="AH87" s="137"/>
      <c r="AM87" s="55"/>
      <c r="AO87" s="55"/>
      <c r="AQ87" s="55"/>
      <c r="BS87" s="137"/>
    </row>
    <row r="88" spans="1:71" x14ac:dyDescent="0.25">
      <c r="A88" s="924" t="str">
        <f t="shared" ca="1" si="7"/>
        <v/>
      </c>
      <c r="B88" s="924"/>
      <c r="C88" s="924"/>
      <c r="D88" s="924"/>
      <c r="E88" s="924"/>
      <c r="F88" s="924"/>
      <c r="G88" s="924"/>
      <c r="H88" s="587" t="str">
        <f t="shared" ca="1" si="8"/>
        <v/>
      </c>
      <c r="I88" s="454" t="str">
        <f t="shared" ca="1" si="11"/>
        <v/>
      </c>
      <c r="J88" s="454" t="str">
        <f t="shared" ca="1" si="11"/>
        <v/>
      </c>
      <c r="K88" s="63"/>
      <c r="L88" s="63"/>
      <c r="M88" s="55">
        <v>39</v>
      </c>
      <c r="P88" s="313" t="str">
        <f t="shared" ca="1" si="10"/>
        <v/>
      </c>
      <c r="AH88" s="137"/>
      <c r="AM88" s="55"/>
      <c r="AO88" s="55"/>
      <c r="AQ88" s="55"/>
      <c r="BS88" s="137"/>
    </row>
    <row r="89" spans="1:71" x14ac:dyDescent="0.25">
      <c r="A89" s="924" t="str">
        <f t="shared" ca="1" si="7"/>
        <v/>
      </c>
      <c r="B89" s="924"/>
      <c r="C89" s="924"/>
      <c r="D89" s="924"/>
      <c r="E89" s="924"/>
      <c r="F89" s="924"/>
      <c r="G89" s="924"/>
      <c r="H89" s="587" t="str">
        <f t="shared" ca="1" si="8"/>
        <v/>
      </c>
      <c r="I89" s="454" t="str">
        <f t="shared" ca="1" si="11"/>
        <v/>
      </c>
      <c r="J89" s="454" t="str">
        <f t="shared" ca="1" si="11"/>
        <v/>
      </c>
      <c r="K89" s="63"/>
      <c r="L89" s="63"/>
      <c r="M89" s="55">
        <v>40</v>
      </c>
      <c r="P89" s="313" t="str">
        <f t="shared" ca="1" si="10"/>
        <v/>
      </c>
      <c r="AH89" s="137"/>
      <c r="AM89" s="55"/>
      <c r="AO89" s="55"/>
      <c r="AQ89" s="55"/>
      <c r="BS89" s="137"/>
    </row>
    <row r="90" spans="1:71" x14ac:dyDescent="0.25">
      <c r="A90" s="924" t="str">
        <f t="shared" ca="1" si="7"/>
        <v/>
      </c>
      <c r="B90" s="924"/>
      <c r="C90" s="924"/>
      <c r="D90" s="924"/>
      <c r="E90" s="924"/>
      <c r="F90" s="924"/>
      <c r="G90" s="924"/>
      <c r="H90" s="587" t="str">
        <f t="shared" ca="1" si="8"/>
        <v/>
      </c>
      <c r="I90" s="454" t="str">
        <f t="shared" ca="1" si="11"/>
        <v/>
      </c>
      <c r="J90" s="454" t="str">
        <f t="shared" ca="1" si="11"/>
        <v/>
      </c>
      <c r="K90" s="63"/>
      <c r="L90" s="63"/>
      <c r="M90" s="55">
        <v>41</v>
      </c>
      <c r="P90" s="313" t="str">
        <f t="shared" ca="1" si="10"/>
        <v/>
      </c>
      <c r="AH90" s="137"/>
      <c r="AM90" s="55"/>
      <c r="AO90" s="55"/>
      <c r="AQ90" s="55"/>
      <c r="BS90" s="137"/>
    </row>
    <row r="91" spans="1:71" x14ac:dyDescent="0.25">
      <c r="A91" s="924" t="str">
        <f t="shared" ca="1" si="7"/>
        <v/>
      </c>
      <c r="B91" s="924"/>
      <c r="C91" s="924"/>
      <c r="D91" s="924"/>
      <c r="E91" s="924"/>
      <c r="F91" s="924"/>
      <c r="G91" s="924"/>
      <c r="H91" s="587" t="str">
        <f t="shared" ca="1" si="8"/>
        <v/>
      </c>
      <c r="I91" s="454" t="str">
        <f t="shared" ca="1" si="11"/>
        <v/>
      </c>
      <c r="J91" s="454" t="str">
        <f t="shared" ca="1" si="11"/>
        <v/>
      </c>
      <c r="K91" s="63"/>
      <c r="L91" s="63"/>
      <c r="M91" s="55">
        <v>42</v>
      </c>
      <c r="P91" s="313" t="str">
        <f t="shared" ca="1" si="10"/>
        <v/>
      </c>
      <c r="AH91" s="137"/>
      <c r="AM91" s="55"/>
      <c r="AO91" s="55"/>
      <c r="AQ91" s="55"/>
      <c r="BS91" s="137"/>
    </row>
    <row r="92" spans="1:71" x14ac:dyDescent="0.25">
      <c r="A92" s="924" t="str">
        <f t="shared" ca="1" si="7"/>
        <v/>
      </c>
      <c r="B92" s="924"/>
      <c r="C92" s="924"/>
      <c r="D92" s="924"/>
      <c r="E92" s="924"/>
      <c r="F92" s="924"/>
      <c r="G92" s="924"/>
      <c r="H92" s="587" t="str">
        <f t="shared" ca="1" si="8"/>
        <v/>
      </c>
      <c r="I92" s="454" t="str">
        <f t="shared" ca="1" si="11"/>
        <v/>
      </c>
      <c r="J92" s="454" t="str">
        <f t="shared" ca="1" si="11"/>
        <v/>
      </c>
      <c r="K92" s="63"/>
      <c r="L92" s="63"/>
      <c r="M92" s="55">
        <v>43</v>
      </c>
      <c r="P92" s="313" t="str">
        <f t="shared" ca="1" si="10"/>
        <v/>
      </c>
      <c r="AH92" s="137"/>
      <c r="AM92" s="55"/>
      <c r="AO92" s="55"/>
      <c r="AQ92" s="55"/>
      <c r="BS92" s="137"/>
    </row>
    <row r="93" spans="1:71" x14ac:dyDescent="0.25">
      <c r="A93" s="924" t="str">
        <f t="shared" ref="A93:A124" ca="1" si="12">IF(ISERROR(INDEX(A$359:A$457,VLOOKUP(ROW(A93)-ROW(A$49),$J$359:$K$457,2,0),0)),"",INDEX(A$359:A$457,VLOOKUP(ROW(A93)-ROW(A$49),$J$359:$K$457,2,0),0))</f>
        <v/>
      </c>
      <c r="B93" s="924"/>
      <c r="C93" s="924"/>
      <c r="D93" s="924"/>
      <c r="E93" s="924"/>
      <c r="F93" s="924"/>
      <c r="G93" s="924"/>
      <c r="H93" s="587" t="str">
        <f t="shared" ca="1" si="8"/>
        <v/>
      </c>
      <c r="I93" s="454" t="str">
        <f t="shared" ca="1" si="11"/>
        <v/>
      </c>
      <c r="J93" s="454" t="str">
        <f t="shared" ca="1" si="11"/>
        <v/>
      </c>
      <c r="K93" s="63"/>
      <c r="L93" s="63"/>
      <c r="M93" s="55">
        <v>44</v>
      </c>
      <c r="P93" s="313" t="str">
        <f t="shared" ca="1" si="10"/>
        <v/>
      </c>
      <c r="AH93" s="137"/>
      <c r="AM93" s="55"/>
      <c r="AO93" s="55"/>
      <c r="AQ93" s="55"/>
      <c r="BS93" s="137"/>
    </row>
    <row r="94" spans="1:71" x14ac:dyDescent="0.25">
      <c r="A94" s="924" t="str">
        <f t="shared" ca="1" si="12"/>
        <v/>
      </c>
      <c r="B94" s="924"/>
      <c r="C94" s="924"/>
      <c r="D94" s="924"/>
      <c r="E94" s="924"/>
      <c r="F94" s="924"/>
      <c r="G94" s="924"/>
      <c r="H94" s="587" t="str">
        <f t="shared" ca="1" si="8"/>
        <v/>
      </c>
      <c r="I94" s="454" t="str">
        <f t="shared" ca="1" si="11"/>
        <v/>
      </c>
      <c r="J94" s="454" t="str">
        <f t="shared" ca="1" si="11"/>
        <v/>
      </c>
      <c r="K94" s="63"/>
      <c r="L94" s="63"/>
      <c r="M94" s="55">
        <v>45</v>
      </c>
      <c r="N94" s="87"/>
      <c r="P94" s="313" t="str">
        <f t="shared" ca="1" si="10"/>
        <v/>
      </c>
      <c r="AH94" s="137"/>
      <c r="AM94" s="55"/>
      <c r="AO94" s="55"/>
      <c r="AQ94" s="55"/>
      <c r="BS94" s="137"/>
    </row>
    <row r="95" spans="1:71" x14ac:dyDescent="0.25">
      <c r="A95" s="924" t="str">
        <f t="shared" ca="1" si="12"/>
        <v/>
      </c>
      <c r="B95" s="924"/>
      <c r="C95" s="924"/>
      <c r="D95" s="924"/>
      <c r="E95" s="924"/>
      <c r="F95" s="924"/>
      <c r="G95" s="924"/>
      <c r="H95" s="587" t="str">
        <f t="shared" ca="1" si="8"/>
        <v/>
      </c>
      <c r="I95" s="454" t="str">
        <f t="shared" ca="1" si="11"/>
        <v/>
      </c>
      <c r="J95" s="454" t="str">
        <f t="shared" ca="1" si="11"/>
        <v/>
      </c>
      <c r="K95" s="63"/>
      <c r="L95" s="63"/>
      <c r="M95" s="55">
        <v>46</v>
      </c>
      <c r="P95" s="313" t="str">
        <f t="shared" ca="1" si="10"/>
        <v/>
      </c>
      <c r="AH95" s="137"/>
      <c r="AM95" s="55"/>
      <c r="AO95" s="55"/>
      <c r="AQ95" s="55"/>
      <c r="BS95" s="137"/>
    </row>
    <row r="96" spans="1:71" x14ac:dyDescent="0.25">
      <c r="A96" s="924" t="str">
        <f t="shared" ca="1" si="12"/>
        <v/>
      </c>
      <c r="B96" s="924"/>
      <c r="C96" s="924"/>
      <c r="D96" s="924"/>
      <c r="E96" s="924"/>
      <c r="F96" s="924"/>
      <c r="G96" s="924"/>
      <c r="H96" s="587" t="str">
        <f t="shared" ref="H96:H127" ca="1" si="13">IF(ISERROR(INDEX(G$359:G$457,VLOOKUP(ROW(G96)-ROW(G$49),$J$359:$K$457,2,0),0)),"",IF(INDEX(G$359:G$457,VLOOKUP(ROW(G96)-ROW(G$49),$J$359:$K$457,2,0),0)=0,"",INDEX(G$359:G$457,VLOOKUP(ROW(G96)-ROW(G$49),$J$359:$K$457,2,0),0)))</f>
        <v/>
      </c>
      <c r="I96" s="454" t="str">
        <f t="shared" ca="1" si="11"/>
        <v/>
      </c>
      <c r="J96" s="454" t="str">
        <f t="shared" ca="1" si="11"/>
        <v/>
      </c>
      <c r="K96" s="63"/>
      <c r="L96" s="63"/>
      <c r="M96" s="55">
        <v>47</v>
      </c>
      <c r="P96" s="313" t="str">
        <f t="shared" ca="1" si="10"/>
        <v/>
      </c>
      <c r="AH96" s="137"/>
      <c r="AM96" s="55"/>
      <c r="AO96" s="55"/>
      <c r="AQ96" s="55"/>
      <c r="BS96" s="137"/>
    </row>
    <row r="97" spans="1:71" x14ac:dyDescent="0.25">
      <c r="A97" s="924" t="str">
        <f t="shared" ca="1" si="12"/>
        <v/>
      </c>
      <c r="B97" s="924"/>
      <c r="C97" s="924"/>
      <c r="D97" s="924"/>
      <c r="E97" s="924"/>
      <c r="F97" s="924"/>
      <c r="G97" s="924"/>
      <c r="H97" s="587" t="str">
        <f t="shared" ca="1" si="13"/>
        <v/>
      </c>
      <c r="I97" s="454" t="str">
        <f t="shared" ca="1" si="11"/>
        <v/>
      </c>
      <c r="J97" s="454" t="str">
        <f t="shared" ca="1" si="11"/>
        <v/>
      </c>
      <c r="K97" s="63"/>
      <c r="L97" s="63"/>
      <c r="M97" s="55">
        <v>48</v>
      </c>
      <c r="P97" s="313" t="str">
        <f t="shared" ca="1" si="10"/>
        <v/>
      </c>
      <c r="AH97" s="137"/>
      <c r="AM97" s="55"/>
      <c r="AO97" s="55"/>
      <c r="AQ97" s="55"/>
      <c r="BS97" s="137"/>
    </row>
    <row r="98" spans="1:71" x14ac:dyDescent="0.25">
      <c r="A98" s="924" t="str">
        <f t="shared" ca="1" si="12"/>
        <v/>
      </c>
      <c r="B98" s="924"/>
      <c r="C98" s="924"/>
      <c r="D98" s="924"/>
      <c r="E98" s="924"/>
      <c r="F98" s="924"/>
      <c r="G98" s="924"/>
      <c r="H98" s="587" t="str">
        <f t="shared" ca="1" si="13"/>
        <v/>
      </c>
      <c r="I98" s="454" t="str">
        <f t="shared" ca="1" si="11"/>
        <v/>
      </c>
      <c r="J98" s="454" t="str">
        <f t="shared" ca="1" si="11"/>
        <v/>
      </c>
      <c r="K98" s="63"/>
      <c r="L98" s="63"/>
      <c r="M98" s="55">
        <v>49</v>
      </c>
      <c r="P98" s="313" t="str">
        <f t="shared" ca="1" si="10"/>
        <v/>
      </c>
      <c r="AH98" s="137"/>
      <c r="AM98" s="55"/>
      <c r="AO98" s="55"/>
      <c r="AQ98" s="55"/>
      <c r="BS98" s="137"/>
    </row>
    <row r="99" spans="1:71" x14ac:dyDescent="0.25">
      <c r="A99" s="924" t="str">
        <f t="shared" ca="1" si="12"/>
        <v/>
      </c>
      <c r="B99" s="924"/>
      <c r="C99" s="924"/>
      <c r="D99" s="924"/>
      <c r="E99" s="924"/>
      <c r="F99" s="924"/>
      <c r="G99" s="924"/>
      <c r="H99" s="587" t="str">
        <f t="shared" ca="1" si="13"/>
        <v/>
      </c>
      <c r="I99" s="454" t="str">
        <f t="shared" ca="1" si="11"/>
        <v/>
      </c>
      <c r="J99" s="454" t="str">
        <f t="shared" ca="1" si="11"/>
        <v/>
      </c>
      <c r="K99" s="63"/>
      <c r="L99" s="63"/>
      <c r="M99" s="55">
        <v>50</v>
      </c>
      <c r="P99" s="313" t="str">
        <f t="shared" ca="1" si="10"/>
        <v/>
      </c>
      <c r="AH99" s="137"/>
      <c r="AM99" s="55"/>
      <c r="AO99" s="55"/>
      <c r="AQ99" s="55"/>
      <c r="BS99" s="137"/>
    </row>
    <row r="100" spans="1:71" x14ac:dyDescent="0.25">
      <c r="A100" s="924" t="str">
        <f t="shared" ca="1" si="12"/>
        <v/>
      </c>
      <c r="B100" s="924"/>
      <c r="C100" s="924"/>
      <c r="D100" s="924"/>
      <c r="E100" s="924"/>
      <c r="F100" s="924"/>
      <c r="G100" s="924"/>
      <c r="H100" s="587" t="str">
        <f t="shared" ca="1" si="13"/>
        <v/>
      </c>
      <c r="I100" s="454" t="str">
        <f t="shared" ca="1" si="11"/>
        <v/>
      </c>
      <c r="J100" s="454" t="str">
        <f t="shared" ca="1" si="11"/>
        <v/>
      </c>
      <c r="K100" s="63"/>
      <c r="L100" s="63"/>
      <c r="M100" s="55">
        <v>51</v>
      </c>
      <c r="P100" s="313" t="str">
        <f t="shared" ca="1" si="10"/>
        <v/>
      </c>
      <c r="AH100" s="137"/>
      <c r="AM100" s="55"/>
      <c r="AO100" s="55"/>
      <c r="AQ100" s="55"/>
      <c r="BS100" s="137"/>
    </row>
    <row r="101" spans="1:71" x14ac:dyDescent="0.25">
      <c r="A101" s="924" t="str">
        <f t="shared" ca="1" si="12"/>
        <v/>
      </c>
      <c r="B101" s="924"/>
      <c r="C101" s="924"/>
      <c r="D101" s="924"/>
      <c r="E101" s="924"/>
      <c r="F101" s="924"/>
      <c r="G101" s="924"/>
      <c r="H101" s="587" t="str">
        <f t="shared" ca="1" si="13"/>
        <v/>
      </c>
      <c r="I101" s="454" t="str">
        <f t="shared" ca="1" si="11"/>
        <v/>
      </c>
      <c r="J101" s="454" t="str">
        <f t="shared" ca="1" si="11"/>
        <v/>
      </c>
      <c r="K101" s="63"/>
      <c r="L101" s="63"/>
      <c r="M101" s="55">
        <v>52</v>
      </c>
      <c r="P101" s="313" t="str">
        <f t="shared" ca="1" si="10"/>
        <v/>
      </c>
      <c r="AH101" s="137"/>
      <c r="AM101" s="55"/>
      <c r="AO101" s="55"/>
      <c r="AQ101" s="55"/>
      <c r="BS101" s="137"/>
    </row>
    <row r="102" spans="1:71" x14ac:dyDescent="0.25">
      <c r="A102" s="924" t="str">
        <f t="shared" ca="1" si="12"/>
        <v/>
      </c>
      <c r="B102" s="924"/>
      <c r="C102" s="924"/>
      <c r="D102" s="924"/>
      <c r="E102" s="924"/>
      <c r="F102" s="924"/>
      <c r="G102" s="924"/>
      <c r="H102" s="587" t="str">
        <f t="shared" ca="1" si="13"/>
        <v/>
      </c>
      <c r="I102" s="454" t="str">
        <f t="shared" ca="1" si="11"/>
        <v/>
      </c>
      <c r="J102" s="454" t="str">
        <f t="shared" ca="1" si="11"/>
        <v/>
      </c>
      <c r="K102" s="63"/>
      <c r="L102" s="63"/>
      <c r="M102" s="55">
        <v>53</v>
      </c>
      <c r="P102" s="313" t="str">
        <f t="shared" ca="1" si="10"/>
        <v/>
      </c>
      <c r="AH102" s="137"/>
      <c r="AM102" s="55"/>
      <c r="AO102" s="55"/>
      <c r="AQ102" s="55"/>
      <c r="BS102" s="137"/>
    </row>
    <row r="103" spans="1:71" x14ac:dyDescent="0.25">
      <c r="A103" s="924" t="str">
        <f t="shared" ca="1" si="12"/>
        <v/>
      </c>
      <c r="B103" s="924"/>
      <c r="C103" s="924"/>
      <c r="D103" s="924"/>
      <c r="E103" s="924"/>
      <c r="F103" s="924"/>
      <c r="G103" s="924"/>
      <c r="H103" s="587" t="str">
        <f t="shared" ca="1" si="13"/>
        <v/>
      </c>
      <c r="I103" s="454" t="str">
        <f t="shared" ca="1" si="11"/>
        <v/>
      </c>
      <c r="J103" s="454" t="str">
        <f t="shared" ca="1" si="11"/>
        <v/>
      </c>
      <c r="K103" s="63"/>
      <c r="L103" s="63"/>
      <c r="M103" s="55">
        <v>54</v>
      </c>
      <c r="P103" s="313" t="str">
        <f t="shared" ca="1" si="10"/>
        <v/>
      </c>
    </row>
    <row r="104" spans="1:71" x14ac:dyDescent="0.25">
      <c r="A104" s="924" t="str">
        <f t="shared" ca="1" si="12"/>
        <v/>
      </c>
      <c r="B104" s="924"/>
      <c r="C104" s="924"/>
      <c r="D104" s="924"/>
      <c r="E104" s="924"/>
      <c r="F104" s="924"/>
      <c r="G104" s="924"/>
      <c r="H104" s="587" t="str">
        <f t="shared" ca="1" si="13"/>
        <v/>
      </c>
      <c r="I104" s="454" t="str">
        <f t="shared" ref="I104:J123" ca="1" si="14">IF(ISERROR(INDEX(H$359:H$457,VLOOKUP(ROW(H104)-ROW(H$49),$J$359:$K$457,2,0),0)),"",INDEX(H$359:H$457,VLOOKUP(ROW(H104)-ROW(H$49),$J$359:$K$457,2,0),0))</f>
        <v/>
      </c>
      <c r="J104" s="454" t="str">
        <f t="shared" ca="1" si="14"/>
        <v/>
      </c>
      <c r="K104" s="63"/>
      <c r="L104" s="63"/>
      <c r="M104" s="55">
        <v>55</v>
      </c>
      <c r="P104" s="313" t="str">
        <f t="shared" ca="1" si="10"/>
        <v/>
      </c>
    </row>
    <row r="105" spans="1:71" x14ac:dyDescent="0.25">
      <c r="A105" s="924" t="str">
        <f t="shared" ca="1" si="12"/>
        <v/>
      </c>
      <c r="B105" s="924"/>
      <c r="C105" s="924"/>
      <c r="D105" s="924"/>
      <c r="E105" s="924"/>
      <c r="F105" s="924"/>
      <c r="G105" s="924"/>
      <c r="H105" s="587" t="str">
        <f t="shared" ca="1" si="13"/>
        <v/>
      </c>
      <c r="I105" s="454" t="str">
        <f t="shared" ca="1" si="14"/>
        <v/>
      </c>
      <c r="J105" s="454" t="str">
        <f t="shared" ca="1" si="14"/>
        <v/>
      </c>
      <c r="K105" s="63"/>
      <c r="L105" s="63"/>
      <c r="M105" s="55">
        <v>56</v>
      </c>
      <c r="P105" s="313" t="str">
        <f t="shared" ca="1" si="10"/>
        <v/>
      </c>
    </row>
    <row r="106" spans="1:71" x14ac:dyDescent="0.25">
      <c r="A106" s="924" t="str">
        <f t="shared" ca="1" si="12"/>
        <v/>
      </c>
      <c r="B106" s="924"/>
      <c r="C106" s="924"/>
      <c r="D106" s="924"/>
      <c r="E106" s="924"/>
      <c r="F106" s="924"/>
      <c r="G106" s="924"/>
      <c r="H106" s="587" t="str">
        <f t="shared" ca="1" si="13"/>
        <v/>
      </c>
      <c r="I106" s="454" t="str">
        <f t="shared" ca="1" si="14"/>
        <v/>
      </c>
      <c r="J106" s="454" t="str">
        <f t="shared" ca="1" si="14"/>
        <v/>
      </c>
      <c r="K106" s="63"/>
      <c r="L106" s="63"/>
      <c r="M106" s="55">
        <v>57</v>
      </c>
      <c r="P106" s="313" t="str">
        <f t="shared" ca="1" si="10"/>
        <v/>
      </c>
    </row>
    <row r="107" spans="1:71" x14ac:dyDescent="0.25">
      <c r="A107" s="924" t="str">
        <f t="shared" ca="1" si="12"/>
        <v/>
      </c>
      <c r="B107" s="924"/>
      <c r="C107" s="924"/>
      <c r="D107" s="924"/>
      <c r="E107" s="924"/>
      <c r="F107" s="924"/>
      <c r="G107" s="924"/>
      <c r="H107" s="587" t="str">
        <f t="shared" ca="1" si="13"/>
        <v/>
      </c>
      <c r="I107" s="454" t="str">
        <f t="shared" ca="1" si="14"/>
        <v/>
      </c>
      <c r="J107" s="454" t="str">
        <f t="shared" ca="1" si="14"/>
        <v/>
      </c>
      <c r="K107" s="63"/>
      <c r="L107" s="63"/>
      <c r="M107" s="55">
        <v>58</v>
      </c>
      <c r="P107" s="313" t="str">
        <f t="shared" ca="1" si="10"/>
        <v/>
      </c>
    </row>
    <row r="108" spans="1:71" x14ac:dyDescent="0.25">
      <c r="A108" s="924" t="str">
        <f t="shared" ca="1" si="12"/>
        <v/>
      </c>
      <c r="B108" s="924"/>
      <c r="C108" s="924"/>
      <c r="D108" s="924"/>
      <c r="E108" s="924"/>
      <c r="F108" s="924"/>
      <c r="G108" s="924"/>
      <c r="H108" s="587" t="str">
        <f t="shared" ca="1" si="13"/>
        <v/>
      </c>
      <c r="I108" s="454" t="str">
        <f t="shared" ca="1" si="14"/>
        <v/>
      </c>
      <c r="J108" s="454" t="str">
        <f t="shared" ca="1" si="14"/>
        <v/>
      </c>
      <c r="K108" s="63"/>
      <c r="L108" s="63"/>
      <c r="M108" s="55">
        <v>59</v>
      </c>
      <c r="P108" s="313" t="str">
        <f t="shared" ca="1" si="10"/>
        <v/>
      </c>
    </row>
    <row r="109" spans="1:71" x14ac:dyDescent="0.25">
      <c r="A109" s="924" t="str">
        <f t="shared" ca="1" si="12"/>
        <v/>
      </c>
      <c r="B109" s="924"/>
      <c r="C109" s="924"/>
      <c r="D109" s="924"/>
      <c r="E109" s="924"/>
      <c r="F109" s="924"/>
      <c r="G109" s="924"/>
      <c r="H109" s="587" t="str">
        <f t="shared" ca="1" si="13"/>
        <v/>
      </c>
      <c r="I109" s="454" t="str">
        <f t="shared" ca="1" si="14"/>
        <v/>
      </c>
      <c r="J109" s="454" t="str">
        <f t="shared" ca="1" si="14"/>
        <v/>
      </c>
      <c r="K109" s="63"/>
      <c r="L109" s="63"/>
      <c r="M109" s="55">
        <v>60</v>
      </c>
      <c r="P109" s="313" t="str">
        <f t="shared" ca="1" si="10"/>
        <v/>
      </c>
    </row>
    <row r="110" spans="1:71" x14ac:dyDescent="0.25">
      <c r="A110" s="924" t="str">
        <f t="shared" ca="1" si="12"/>
        <v/>
      </c>
      <c r="B110" s="924"/>
      <c r="C110" s="924"/>
      <c r="D110" s="924"/>
      <c r="E110" s="924"/>
      <c r="F110" s="924"/>
      <c r="G110" s="924"/>
      <c r="H110" s="587" t="str">
        <f t="shared" ca="1" si="13"/>
        <v/>
      </c>
      <c r="I110" s="454" t="str">
        <f t="shared" ca="1" si="14"/>
        <v/>
      </c>
      <c r="J110" s="454" t="str">
        <f t="shared" ca="1" si="14"/>
        <v/>
      </c>
      <c r="K110" s="63"/>
      <c r="L110" s="63"/>
      <c r="M110" s="55">
        <v>61</v>
      </c>
      <c r="P110" s="313" t="str">
        <f t="shared" ca="1" si="10"/>
        <v/>
      </c>
    </row>
    <row r="111" spans="1:71" x14ac:dyDescent="0.25">
      <c r="A111" s="924" t="str">
        <f t="shared" ca="1" si="12"/>
        <v/>
      </c>
      <c r="B111" s="924"/>
      <c r="C111" s="924"/>
      <c r="D111" s="924"/>
      <c r="E111" s="924"/>
      <c r="F111" s="924"/>
      <c r="G111" s="924"/>
      <c r="H111" s="587" t="str">
        <f t="shared" ca="1" si="13"/>
        <v/>
      </c>
      <c r="I111" s="454" t="str">
        <f t="shared" ca="1" si="14"/>
        <v/>
      </c>
      <c r="J111" s="454" t="str">
        <f t="shared" ca="1" si="14"/>
        <v/>
      </c>
      <c r="K111" s="63"/>
      <c r="L111" s="63"/>
      <c r="M111" s="55">
        <v>62</v>
      </c>
      <c r="P111" s="313" t="str">
        <f t="shared" ca="1" si="10"/>
        <v/>
      </c>
    </row>
    <row r="112" spans="1:71" x14ac:dyDescent="0.25">
      <c r="A112" s="924" t="str">
        <f t="shared" ca="1" si="12"/>
        <v/>
      </c>
      <c r="B112" s="924"/>
      <c r="C112" s="924"/>
      <c r="D112" s="924"/>
      <c r="E112" s="924"/>
      <c r="F112" s="924"/>
      <c r="G112" s="924"/>
      <c r="H112" s="587" t="str">
        <f t="shared" ca="1" si="13"/>
        <v/>
      </c>
      <c r="I112" s="454" t="str">
        <f t="shared" ca="1" si="14"/>
        <v/>
      </c>
      <c r="J112" s="454" t="str">
        <f t="shared" ca="1" si="14"/>
        <v/>
      </c>
      <c r="K112" s="63"/>
      <c r="L112" s="63"/>
      <c r="M112" s="55">
        <v>63</v>
      </c>
      <c r="P112" s="313" t="str">
        <f t="shared" ca="1" si="10"/>
        <v/>
      </c>
    </row>
    <row r="113" spans="1:16" x14ac:dyDescent="0.25">
      <c r="A113" s="924" t="str">
        <f t="shared" ca="1" si="12"/>
        <v/>
      </c>
      <c r="B113" s="924"/>
      <c r="C113" s="924"/>
      <c r="D113" s="924"/>
      <c r="E113" s="924"/>
      <c r="F113" s="924"/>
      <c r="G113" s="924"/>
      <c r="H113" s="587" t="str">
        <f t="shared" ca="1" si="13"/>
        <v/>
      </c>
      <c r="I113" s="454" t="str">
        <f t="shared" ca="1" si="14"/>
        <v/>
      </c>
      <c r="J113" s="454" t="str">
        <f t="shared" ca="1" si="14"/>
        <v/>
      </c>
      <c r="K113" s="63"/>
      <c r="L113" s="63"/>
      <c r="M113" s="55">
        <v>64</v>
      </c>
      <c r="P113" s="313" t="str">
        <f t="shared" ca="1" si="10"/>
        <v/>
      </c>
    </row>
    <row r="114" spans="1:16" x14ac:dyDescent="0.25">
      <c r="A114" s="924" t="str">
        <f t="shared" ca="1" si="12"/>
        <v/>
      </c>
      <c r="B114" s="924"/>
      <c r="C114" s="924"/>
      <c r="D114" s="924"/>
      <c r="E114" s="924"/>
      <c r="F114" s="924"/>
      <c r="G114" s="924"/>
      <c r="H114" s="587" t="str">
        <f t="shared" ca="1" si="13"/>
        <v/>
      </c>
      <c r="I114" s="454" t="str">
        <f t="shared" ca="1" si="14"/>
        <v/>
      </c>
      <c r="J114" s="454" t="str">
        <f t="shared" ca="1" si="14"/>
        <v/>
      </c>
      <c r="K114" s="63"/>
      <c r="L114" s="63"/>
      <c r="M114" s="55">
        <v>65</v>
      </c>
      <c r="P114" s="313" t="str">
        <f t="shared" ref="P114:P144" ca="1" si="15">IF(ISERROR(INDEX(L$359:L$457,VLOOKUP(ROW(P114)-ROW(P$49),$J$359:$K$457,2,0),0)),"",INDEX(L$359:L$457,VLOOKUP(ROW(P114)-ROW(P$49),$J$359:$K$457,2,0),0))</f>
        <v/>
      </c>
    </row>
    <row r="115" spans="1:16" x14ac:dyDescent="0.25">
      <c r="A115" s="924" t="str">
        <f t="shared" ca="1" si="12"/>
        <v/>
      </c>
      <c r="B115" s="924"/>
      <c r="C115" s="924"/>
      <c r="D115" s="924"/>
      <c r="E115" s="924"/>
      <c r="F115" s="924"/>
      <c r="G115" s="924"/>
      <c r="H115" s="587" t="str">
        <f t="shared" ca="1" si="13"/>
        <v/>
      </c>
      <c r="I115" s="454" t="str">
        <f t="shared" ca="1" si="14"/>
        <v/>
      </c>
      <c r="J115" s="454" t="str">
        <f t="shared" ca="1" si="14"/>
        <v/>
      </c>
      <c r="K115" s="63"/>
      <c r="L115" s="63"/>
      <c r="M115" s="55">
        <v>66</v>
      </c>
      <c r="P115" s="313" t="str">
        <f t="shared" ca="1" si="15"/>
        <v/>
      </c>
    </row>
    <row r="116" spans="1:16" x14ac:dyDescent="0.25">
      <c r="A116" s="924" t="str">
        <f t="shared" ca="1" si="12"/>
        <v/>
      </c>
      <c r="B116" s="924"/>
      <c r="C116" s="924"/>
      <c r="D116" s="924"/>
      <c r="E116" s="924"/>
      <c r="F116" s="924"/>
      <c r="G116" s="924"/>
      <c r="H116" s="587" t="str">
        <f t="shared" ca="1" si="13"/>
        <v/>
      </c>
      <c r="I116" s="454" t="str">
        <f t="shared" ca="1" si="14"/>
        <v/>
      </c>
      <c r="J116" s="454" t="str">
        <f t="shared" ca="1" si="14"/>
        <v/>
      </c>
      <c r="K116" s="63"/>
      <c r="L116" s="63"/>
      <c r="M116" s="55">
        <v>67</v>
      </c>
      <c r="P116" s="313" t="str">
        <f t="shared" ca="1" si="15"/>
        <v/>
      </c>
    </row>
    <row r="117" spans="1:16" x14ac:dyDescent="0.25">
      <c r="A117" s="924" t="str">
        <f t="shared" ca="1" si="12"/>
        <v/>
      </c>
      <c r="B117" s="924"/>
      <c r="C117" s="924"/>
      <c r="D117" s="924"/>
      <c r="E117" s="924"/>
      <c r="F117" s="924"/>
      <c r="G117" s="924"/>
      <c r="H117" s="587" t="str">
        <f t="shared" ca="1" si="13"/>
        <v/>
      </c>
      <c r="I117" s="454" t="str">
        <f t="shared" ca="1" si="14"/>
        <v/>
      </c>
      <c r="J117" s="454" t="str">
        <f t="shared" ca="1" si="14"/>
        <v/>
      </c>
      <c r="K117" s="63"/>
      <c r="L117" s="63"/>
      <c r="M117" s="55">
        <v>68</v>
      </c>
      <c r="P117" s="313" t="str">
        <f t="shared" ca="1" si="15"/>
        <v/>
      </c>
    </row>
    <row r="118" spans="1:16" x14ac:dyDescent="0.25">
      <c r="A118" s="924" t="str">
        <f t="shared" ca="1" si="12"/>
        <v/>
      </c>
      <c r="B118" s="924"/>
      <c r="C118" s="924"/>
      <c r="D118" s="924"/>
      <c r="E118" s="924"/>
      <c r="F118" s="924"/>
      <c r="G118" s="924"/>
      <c r="H118" s="587" t="str">
        <f t="shared" ca="1" si="13"/>
        <v/>
      </c>
      <c r="I118" s="454" t="str">
        <f t="shared" ca="1" si="14"/>
        <v/>
      </c>
      <c r="J118" s="454" t="str">
        <f t="shared" ca="1" si="14"/>
        <v/>
      </c>
      <c r="K118" s="63"/>
      <c r="L118" s="63"/>
      <c r="M118" s="55">
        <v>69</v>
      </c>
      <c r="P118" s="313" t="str">
        <f t="shared" ca="1" si="15"/>
        <v/>
      </c>
    </row>
    <row r="119" spans="1:16" x14ac:dyDescent="0.25">
      <c r="A119" s="924" t="str">
        <f t="shared" ca="1" si="12"/>
        <v/>
      </c>
      <c r="B119" s="924"/>
      <c r="C119" s="924"/>
      <c r="D119" s="924"/>
      <c r="E119" s="924"/>
      <c r="F119" s="924"/>
      <c r="G119" s="924"/>
      <c r="H119" s="587" t="str">
        <f t="shared" ca="1" si="13"/>
        <v/>
      </c>
      <c r="I119" s="454" t="str">
        <f t="shared" ca="1" si="14"/>
        <v/>
      </c>
      <c r="J119" s="454" t="str">
        <f t="shared" ca="1" si="14"/>
        <v/>
      </c>
      <c r="K119" s="63"/>
      <c r="L119" s="63"/>
      <c r="M119" s="55">
        <v>70</v>
      </c>
      <c r="P119" s="313" t="str">
        <f t="shared" ca="1" si="15"/>
        <v/>
      </c>
    </row>
    <row r="120" spans="1:16" x14ac:dyDescent="0.25">
      <c r="A120" s="924" t="str">
        <f t="shared" ca="1" si="12"/>
        <v/>
      </c>
      <c r="B120" s="924"/>
      <c r="C120" s="924"/>
      <c r="D120" s="924"/>
      <c r="E120" s="924"/>
      <c r="F120" s="924"/>
      <c r="G120" s="924"/>
      <c r="H120" s="587" t="str">
        <f t="shared" ca="1" si="13"/>
        <v/>
      </c>
      <c r="I120" s="454" t="str">
        <f t="shared" ca="1" si="14"/>
        <v/>
      </c>
      <c r="J120" s="454" t="str">
        <f t="shared" ca="1" si="14"/>
        <v/>
      </c>
      <c r="K120" s="63"/>
      <c r="L120" s="63"/>
      <c r="M120" s="55">
        <v>71</v>
      </c>
      <c r="P120" s="313" t="str">
        <f t="shared" ca="1" si="15"/>
        <v/>
      </c>
    </row>
    <row r="121" spans="1:16" x14ac:dyDescent="0.25">
      <c r="A121" s="924" t="str">
        <f t="shared" ca="1" si="12"/>
        <v/>
      </c>
      <c r="B121" s="924"/>
      <c r="C121" s="924"/>
      <c r="D121" s="924"/>
      <c r="E121" s="924"/>
      <c r="F121" s="924"/>
      <c r="G121" s="924"/>
      <c r="H121" s="587" t="str">
        <f t="shared" ca="1" si="13"/>
        <v/>
      </c>
      <c r="I121" s="454" t="str">
        <f t="shared" ca="1" si="14"/>
        <v/>
      </c>
      <c r="J121" s="454" t="str">
        <f t="shared" ca="1" si="14"/>
        <v/>
      </c>
      <c r="K121" s="63"/>
      <c r="L121" s="63"/>
      <c r="M121" s="55">
        <v>72</v>
      </c>
      <c r="P121" s="313" t="str">
        <f t="shared" ca="1" si="15"/>
        <v/>
      </c>
    </row>
    <row r="122" spans="1:16" x14ac:dyDescent="0.25">
      <c r="A122" s="924" t="str">
        <f t="shared" ca="1" si="12"/>
        <v/>
      </c>
      <c r="B122" s="924"/>
      <c r="C122" s="924"/>
      <c r="D122" s="924"/>
      <c r="E122" s="924"/>
      <c r="F122" s="924"/>
      <c r="G122" s="924"/>
      <c r="H122" s="587" t="str">
        <f t="shared" ca="1" si="13"/>
        <v/>
      </c>
      <c r="I122" s="454" t="str">
        <f t="shared" ca="1" si="14"/>
        <v/>
      </c>
      <c r="J122" s="454" t="str">
        <f t="shared" ca="1" si="14"/>
        <v/>
      </c>
      <c r="K122" s="63"/>
      <c r="L122" s="63"/>
      <c r="M122" s="55">
        <v>73</v>
      </c>
      <c r="P122" s="313" t="str">
        <f t="shared" ca="1" si="15"/>
        <v/>
      </c>
    </row>
    <row r="123" spans="1:16" x14ac:dyDescent="0.25">
      <c r="A123" s="924" t="str">
        <f t="shared" ca="1" si="12"/>
        <v/>
      </c>
      <c r="B123" s="924"/>
      <c r="C123" s="924"/>
      <c r="D123" s="924"/>
      <c r="E123" s="924"/>
      <c r="F123" s="924"/>
      <c r="G123" s="924"/>
      <c r="H123" s="587" t="str">
        <f t="shared" ca="1" si="13"/>
        <v/>
      </c>
      <c r="I123" s="454" t="str">
        <f t="shared" ca="1" si="14"/>
        <v/>
      </c>
      <c r="J123" s="454" t="str">
        <f t="shared" ca="1" si="14"/>
        <v/>
      </c>
      <c r="K123" s="63"/>
      <c r="L123" s="63"/>
      <c r="M123" s="55">
        <v>74</v>
      </c>
      <c r="P123" s="313" t="str">
        <f t="shared" ca="1" si="15"/>
        <v/>
      </c>
    </row>
    <row r="124" spans="1:16" x14ac:dyDescent="0.25">
      <c r="A124" s="924" t="str">
        <f t="shared" ca="1" si="12"/>
        <v/>
      </c>
      <c r="B124" s="924"/>
      <c r="C124" s="924"/>
      <c r="D124" s="924"/>
      <c r="E124" s="924"/>
      <c r="F124" s="924"/>
      <c r="G124" s="924"/>
      <c r="H124" s="587" t="str">
        <f t="shared" ca="1" si="13"/>
        <v/>
      </c>
      <c r="I124" s="454" t="str">
        <f t="shared" ref="I124:J143" ca="1" si="16">IF(ISERROR(INDEX(H$359:H$457,VLOOKUP(ROW(H124)-ROW(H$49),$J$359:$K$457,2,0),0)),"",INDEX(H$359:H$457,VLOOKUP(ROW(H124)-ROW(H$49),$J$359:$K$457,2,0),0))</f>
        <v/>
      </c>
      <c r="J124" s="454" t="str">
        <f t="shared" ca="1" si="16"/>
        <v/>
      </c>
      <c r="K124" s="63"/>
      <c r="L124" s="63"/>
      <c r="M124" s="55">
        <v>75</v>
      </c>
      <c r="P124" s="313" t="str">
        <f t="shared" ca="1" si="15"/>
        <v/>
      </c>
    </row>
    <row r="125" spans="1:16" x14ac:dyDescent="0.25">
      <c r="A125" s="924" t="str">
        <f t="shared" ref="A125:A144" ca="1" si="17">IF(ISERROR(INDEX(A$359:A$457,VLOOKUP(ROW(A125)-ROW(A$49),$J$359:$K$457,2,0),0)),"",INDEX(A$359:A$457,VLOOKUP(ROW(A125)-ROW(A$49),$J$359:$K$457,2,0),0))</f>
        <v/>
      </c>
      <c r="B125" s="924"/>
      <c r="C125" s="924"/>
      <c r="D125" s="924"/>
      <c r="E125" s="924"/>
      <c r="F125" s="924"/>
      <c r="G125" s="924"/>
      <c r="H125" s="587" t="str">
        <f t="shared" ca="1" si="13"/>
        <v/>
      </c>
      <c r="I125" s="454" t="str">
        <f t="shared" ca="1" si="16"/>
        <v/>
      </c>
      <c r="J125" s="454" t="str">
        <f t="shared" ca="1" si="16"/>
        <v/>
      </c>
      <c r="K125" s="63"/>
      <c r="L125" s="63"/>
      <c r="M125" s="55">
        <v>76</v>
      </c>
      <c r="P125" s="313" t="str">
        <f t="shared" ca="1" si="15"/>
        <v/>
      </c>
    </row>
    <row r="126" spans="1:16" x14ac:dyDescent="0.25">
      <c r="A126" s="924" t="str">
        <f t="shared" ca="1" si="17"/>
        <v/>
      </c>
      <c r="B126" s="924"/>
      <c r="C126" s="924"/>
      <c r="D126" s="924"/>
      <c r="E126" s="924"/>
      <c r="F126" s="924"/>
      <c r="G126" s="924"/>
      <c r="H126" s="587" t="str">
        <f t="shared" ca="1" si="13"/>
        <v/>
      </c>
      <c r="I126" s="454" t="str">
        <f t="shared" ca="1" si="16"/>
        <v/>
      </c>
      <c r="J126" s="454" t="str">
        <f t="shared" ca="1" si="16"/>
        <v/>
      </c>
      <c r="K126" s="63"/>
      <c r="L126" s="63"/>
      <c r="M126" s="55">
        <v>77</v>
      </c>
      <c r="P126" s="313" t="str">
        <f t="shared" ca="1" si="15"/>
        <v/>
      </c>
    </row>
    <row r="127" spans="1:16" x14ac:dyDescent="0.25">
      <c r="A127" s="924" t="str">
        <f t="shared" ca="1" si="17"/>
        <v/>
      </c>
      <c r="B127" s="924"/>
      <c r="C127" s="924"/>
      <c r="D127" s="924"/>
      <c r="E127" s="924"/>
      <c r="F127" s="924"/>
      <c r="G127" s="924"/>
      <c r="H127" s="587" t="str">
        <f t="shared" ca="1" si="13"/>
        <v/>
      </c>
      <c r="I127" s="454" t="str">
        <f t="shared" ca="1" si="16"/>
        <v/>
      </c>
      <c r="J127" s="454" t="str">
        <f t="shared" ca="1" si="16"/>
        <v/>
      </c>
      <c r="K127" s="63"/>
      <c r="L127" s="63"/>
      <c r="M127" s="55">
        <v>78</v>
      </c>
      <c r="P127" s="313" t="str">
        <f t="shared" ca="1" si="15"/>
        <v/>
      </c>
    </row>
    <row r="128" spans="1:16" x14ac:dyDescent="0.25">
      <c r="A128" s="924" t="str">
        <f t="shared" ca="1" si="17"/>
        <v/>
      </c>
      <c r="B128" s="924"/>
      <c r="C128" s="924"/>
      <c r="D128" s="924"/>
      <c r="E128" s="924"/>
      <c r="F128" s="924"/>
      <c r="G128" s="924"/>
      <c r="H128" s="587" t="str">
        <f t="shared" ref="H128:H144" ca="1" si="18">IF(ISERROR(INDEX(G$359:G$457,VLOOKUP(ROW(G128)-ROW(G$49),$J$359:$K$457,2,0),0)),"",IF(INDEX(G$359:G$457,VLOOKUP(ROW(G128)-ROW(G$49),$J$359:$K$457,2,0),0)=0,"",INDEX(G$359:G$457,VLOOKUP(ROW(G128)-ROW(G$49),$J$359:$K$457,2,0),0)))</f>
        <v/>
      </c>
      <c r="I128" s="454" t="str">
        <f t="shared" ca="1" si="16"/>
        <v/>
      </c>
      <c r="J128" s="454" t="str">
        <f t="shared" ca="1" si="16"/>
        <v/>
      </c>
      <c r="K128" s="63"/>
      <c r="L128" s="63"/>
      <c r="M128" s="55">
        <v>79</v>
      </c>
      <c r="P128" s="313" t="str">
        <f t="shared" ca="1" si="15"/>
        <v/>
      </c>
    </row>
    <row r="129" spans="1:16" x14ac:dyDescent="0.25">
      <c r="A129" s="924" t="str">
        <f t="shared" ca="1" si="17"/>
        <v/>
      </c>
      <c r="B129" s="924"/>
      <c r="C129" s="924"/>
      <c r="D129" s="924"/>
      <c r="E129" s="924"/>
      <c r="F129" s="924"/>
      <c r="G129" s="924"/>
      <c r="H129" s="587" t="str">
        <f t="shared" ca="1" si="18"/>
        <v/>
      </c>
      <c r="I129" s="454" t="str">
        <f t="shared" ca="1" si="16"/>
        <v/>
      </c>
      <c r="J129" s="454" t="str">
        <f t="shared" ca="1" si="16"/>
        <v/>
      </c>
      <c r="K129" s="63"/>
      <c r="L129" s="63"/>
      <c r="M129" s="55">
        <v>80</v>
      </c>
      <c r="P129" s="313" t="str">
        <f t="shared" ca="1" si="15"/>
        <v/>
      </c>
    </row>
    <row r="130" spans="1:16" x14ac:dyDescent="0.25">
      <c r="A130" s="924" t="str">
        <f t="shared" ca="1" si="17"/>
        <v/>
      </c>
      <c r="B130" s="924"/>
      <c r="C130" s="924"/>
      <c r="D130" s="924"/>
      <c r="E130" s="924"/>
      <c r="F130" s="924"/>
      <c r="G130" s="924"/>
      <c r="H130" s="587" t="str">
        <f t="shared" ca="1" si="18"/>
        <v/>
      </c>
      <c r="I130" s="454" t="str">
        <f t="shared" ca="1" si="16"/>
        <v/>
      </c>
      <c r="J130" s="454" t="str">
        <f t="shared" ca="1" si="16"/>
        <v/>
      </c>
      <c r="K130" s="63"/>
      <c r="L130" s="63"/>
      <c r="M130" s="55">
        <v>81</v>
      </c>
      <c r="P130" s="313" t="str">
        <f t="shared" ca="1" si="15"/>
        <v/>
      </c>
    </row>
    <row r="131" spans="1:16" x14ac:dyDescent="0.25">
      <c r="A131" s="924" t="str">
        <f t="shared" ca="1" si="17"/>
        <v/>
      </c>
      <c r="B131" s="924"/>
      <c r="C131" s="924"/>
      <c r="D131" s="924"/>
      <c r="E131" s="924"/>
      <c r="F131" s="924"/>
      <c r="G131" s="924"/>
      <c r="H131" s="587" t="str">
        <f t="shared" ca="1" si="18"/>
        <v/>
      </c>
      <c r="I131" s="454" t="str">
        <f t="shared" ca="1" si="16"/>
        <v/>
      </c>
      <c r="J131" s="454" t="str">
        <f t="shared" ca="1" si="16"/>
        <v/>
      </c>
      <c r="K131" s="63"/>
      <c r="L131" s="63"/>
      <c r="M131" s="55">
        <v>82</v>
      </c>
      <c r="P131" s="313" t="str">
        <f t="shared" ca="1" si="15"/>
        <v/>
      </c>
    </row>
    <row r="132" spans="1:16" x14ac:dyDescent="0.25">
      <c r="A132" s="924" t="str">
        <f t="shared" ca="1" si="17"/>
        <v/>
      </c>
      <c r="B132" s="924"/>
      <c r="C132" s="924"/>
      <c r="D132" s="924"/>
      <c r="E132" s="924"/>
      <c r="F132" s="924"/>
      <c r="G132" s="924"/>
      <c r="H132" s="587" t="str">
        <f t="shared" ca="1" si="18"/>
        <v/>
      </c>
      <c r="I132" s="454" t="str">
        <f t="shared" ca="1" si="16"/>
        <v/>
      </c>
      <c r="J132" s="454" t="str">
        <f t="shared" ca="1" si="16"/>
        <v/>
      </c>
      <c r="K132" s="63"/>
      <c r="L132" s="63"/>
      <c r="M132" s="55">
        <v>83</v>
      </c>
      <c r="P132" s="313" t="str">
        <f t="shared" ca="1" si="15"/>
        <v/>
      </c>
    </row>
    <row r="133" spans="1:16" x14ac:dyDescent="0.25">
      <c r="A133" s="924" t="str">
        <f t="shared" ca="1" si="17"/>
        <v/>
      </c>
      <c r="B133" s="924"/>
      <c r="C133" s="924"/>
      <c r="D133" s="924"/>
      <c r="E133" s="924"/>
      <c r="F133" s="924"/>
      <c r="G133" s="924"/>
      <c r="H133" s="587" t="str">
        <f t="shared" ca="1" si="18"/>
        <v/>
      </c>
      <c r="I133" s="454" t="str">
        <f t="shared" ca="1" si="16"/>
        <v/>
      </c>
      <c r="J133" s="454" t="str">
        <f t="shared" ca="1" si="16"/>
        <v/>
      </c>
      <c r="K133" s="63"/>
      <c r="L133" s="63"/>
      <c r="M133" s="55">
        <v>84</v>
      </c>
      <c r="P133" s="313" t="str">
        <f t="shared" ca="1" si="15"/>
        <v/>
      </c>
    </row>
    <row r="134" spans="1:16" x14ac:dyDescent="0.25">
      <c r="A134" s="924" t="str">
        <f t="shared" ca="1" si="17"/>
        <v/>
      </c>
      <c r="B134" s="924"/>
      <c r="C134" s="924"/>
      <c r="D134" s="924"/>
      <c r="E134" s="924"/>
      <c r="F134" s="924"/>
      <c r="G134" s="924"/>
      <c r="H134" s="587" t="str">
        <f t="shared" ca="1" si="18"/>
        <v/>
      </c>
      <c r="I134" s="454" t="str">
        <f t="shared" ca="1" si="16"/>
        <v/>
      </c>
      <c r="J134" s="454" t="str">
        <f t="shared" ca="1" si="16"/>
        <v/>
      </c>
      <c r="K134" s="63"/>
      <c r="L134" s="63"/>
      <c r="M134" s="55">
        <v>85</v>
      </c>
      <c r="P134" s="313" t="str">
        <f t="shared" ca="1" si="15"/>
        <v/>
      </c>
    </row>
    <row r="135" spans="1:16" x14ac:dyDescent="0.25">
      <c r="A135" s="924" t="str">
        <f t="shared" ca="1" si="17"/>
        <v/>
      </c>
      <c r="B135" s="924"/>
      <c r="C135" s="924"/>
      <c r="D135" s="924"/>
      <c r="E135" s="924"/>
      <c r="F135" s="924"/>
      <c r="G135" s="924"/>
      <c r="H135" s="587" t="str">
        <f t="shared" ca="1" si="18"/>
        <v/>
      </c>
      <c r="I135" s="454" t="str">
        <f t="shared" ca="1" si="16"/>
        <v/>
      </c>
      <c r="J135" s="454" t="str">
        <f t="shared" ca="1" si="16"/>
        <v/>
      </c>
      <c r="K135" s="63"/>
      <c r="L135" s="63"/>
      <c r="M135" s="55">
        <v>86</v>
      </c>
      <c r="P135" s="313" t="str">
        <f t="shared" ca="1" si="15"/>
        <v/>
      </c>
    </row>
    <row r="136" spans="1:16" x14ac:dyDescent="0.25">
      <c r="A136" s="924" t="str">
        <f t="shared" ca="1" si="17"/>
        <v/>
      </c>
      <c r="B136" s="924"/>
      <c r="C136" s="924"/>
      <c r="D136" s="924"/>
      <c r="E136" s="924"/>
      <c r="F136" s="924"/>
      <c r="G136" s="924"/>
      <c r="H136" s="587" t="str">
        <f t="shared" ca="1" si="18"/>
        <v/>
      </c>
      <c r="I136" s="454" t="str">
        <f t="shared" ca="1" si="16"/>
        <v/>
      </c>
      <c r="J136" s="454" t="str">
        <f t="shared" ca="1" si="16"/>
        <v/>
      </c>
      <c r="K136" s="63"/>
      <c r="L136" s="63"/>
      <c r="M136" s="55">
        <v>87</v>
      </c>
      <c r="P136" s="313" t="str">
        <f t="shared" ca="1" si="15"/>
        <v/>
      </c>
    </row>
    <row r="137" spans="1:16" x14ac:dyDescent="0.25">
      <c r="A137" s="924" t="str">
        <f t="shared" ca="1" si="17"/>
        <v/>
      </c>
      <c r="B137" s="924"/>
      <c r="C137" s="924"/>
      <c r="D137" s="924"/>
      <c r="E137" s="924"/>
      <c r="F137" s="924"/>
      <c r="G137" s="924"/>
      <c r="H137" s="587" t="str">
        <f t="shared" ca="1" si="18"/>
        <v/>
      </c>
      <c r="I137" s="454" t="str">
        <f t="shared" ca="1" si="16"/>
        <v/>
      </c>
      <c r="J137" s="454" t="str">
        <f t="shared" ca="1" si="16"/>
        <v/>
      </c>
      <c r="K137" s="63"/>
      <c r="L137" s="63"/>
      <c r="M137" s="55">
        <v>88</v>
      </c>
      <c r="P137" s="313" t="str">
        <f t="shared" ca="1" si="15"/>
        <v/>
      </c>
    </row>
    <row r="138" spans="1:16" x14ac:dyDescent="0.25">
      <c r="A138" s="924" t="str">
        <f t="shared" ca="1" si="17"/>
        <v/>
      </c>
      <c r="B138" s="924"/>
      <c r="C138" s="924"/>
      <c r="D138" s="924"/>
      <c r="E138" s="924"/>
      <c r="F138" s="924"/>
      <c r="G138" s="924"/>
      <c r="H138" s="587" t="str">
        <f t="shared" ca="1" si="18"/>
        <v/>
      </c>
      <c r="I138" s="454" t="str">
        <f t="shared" ca="1" si="16"/>
        <v/>
      </c>
      <c r="J138" s="454" t="str">
        <f t="shared" ca="1" si="16"/>
        <v/>
      </c>
      <c r="K138" s="63"/>
      <c r="L138" s="63"/>
      <c r="M138" s="55">
        <v>89</v>
      </c>
      <c r="P138" s="313" t="str">
        <f t="shared" ca="1" si="15"/>
        <v/>
      </c>
    </row>
    <row r="139" spans="1:16" x14ac:dyDescent="0.25">
      <c r="A139" s="924" t="str">
        <f t="shared" ca="1" si="17"/>
        <v/>
      </c>
      <c r="B139" s="924"/>
      <c r="C139" s="924"/>
      <c r="D139" s="924"/>
      <c r="E139" s="924"/>
      <c r="F139" s="924"/>
      <c r="G139" s="924"/>
      <c r="H139" s="587" t="str">
        <f t="shared" ca="1" si="18"/>
        <v/>
      </c>
      <c r="I139" s="454" t="str">
        <f t="shared" ca="1" si="16"/>
        <v/>
      </c>
      <c r="J139" s="454" t="str">
        <f t="shared" ca="1" si="16"/>
        <v/>
      </c>
      <c r="K139" s="63"/>
      <c r="L139" s="63"/>
      <c r="M139" s="55">
        <v>90</v>
      </c>
      <c r="P139" s="313" t="str">
        <f t="shared" ca="1" si="15"/>
        <v/>
      </c>
    </row>
    <row r="140" spans="1:16" x14ac:dyDescent="0.25">
      <c r="A140" s="924" t="str">
        <f t="shared" ca="1" si="17"/>
        <v/>
      </c>
      <c r="B140" s="924"/>
      <c r="C140" s="924"/>
      <c r="D140" s="924"/>
      <c r="E140" s="924"/>
      <c r="F140" s="924"/>
      <c r="G140" s="924"/>
      <c r="H140" s="587" t="str">
        <f t="shared" ca="1" si="18"/>
        <v/>
      </c>
      <c r="I140" s="454" t="str">
        <f t="shared" ca="1" si="16"/>
        <v/>
      </c>
      <c r="J140" s="454" t="str">
        <f t="shared" ca="1" si="16"/>
        <v/>
      </c>
      <c r="M140" s="55">
        <v>91</v>
      </c>
      <c r="O140" s="369"/>
      <c r="P140" s="313" t="str">
        <f t="shared" ca="1" si="15"/>
        <v/>
      </c>
    </row>
    <row r="141" spans="1:16" x14ac:dyDescent="0.25">
      <c r="A141" s="924" t="str">
        <f t="shared" ca="1" si="17"/>
        <v/>
      </c>
      <c r="B141" s="924"/>
      <c r="C141" s="924"/>
      <c r="D141" s="924"/>
      <c r="E141" s="924"/>
      <c r="F141" s="924"/>
      <c r="G141" s="924"/>
      <c r="H141" s="587" t="str">
        <f t="shared" ca="1" si="18"/>
        <v/>
      </c>
      <c r="I141" s="454" t="str">
        <f t="shared" ca="1" si="16"/>
        <v/>
      </c>
      <c r="J141" s="454" t="str">
        <f t="shared" ca="1" si="16"/>
        <v/>
      </c>
      <c r="M141" s="55">
        <v>92</v>
      </c>
      <c r="O141" s="312"/>
      <c r="P141" s="313" t="str">
        <f t="shared" ca="1" si="15"/>
        <v/>
      </c>
    </row>
    <row r="142" spans="1:16" x14ac:dyDescent="0.25">
      <c r="A142" s="924" t="str">
        <f t="shared" ca="1" si="17"/>
        <v/>
      </c>
      <c r="B142" s="924"/>
      <c r="C142" s="924"/>
      <c r="D142" s="924"/>
      <c r="E142" s="924"/>
      <c r="F142" s="924"/>
      <c r="G142" s="924"/>
      <c r="H142" s="587" t="str">
        <f t="shared" ca="1" si="18"/>
        <v/>
      </c>
      <c r="I142" s="454" t="str">
        <f t="shared" ca="1" si="16"/>
        <v/>
      </c>
      <c r="J142" s="454" t="str">
        <f t="shared" ca="1" si="16"/>
        <v/>
      </c>
      <c r="M142" s="55">
        <v>93</v>
      </c>
      <c r="O142" s="455"/>
      <c r="P142" s="313" t="str">
        <f t="shared" ca="1" si="15"/>
        <v/>
      </c>
    </row>
    <row r="143" spans="1:16" x14ac:dyDescent="0.25">
      <c r="A143" s="924" t="str">
        <f t="shared" ca="1" si="17"/>
        <v/>
      </c>
      <c r="B143" s="924"/>
      <c r="C143" s="924"/>
      <c r="D143" s="924"/>
      <c r="E143" s="924"/>
      <c r="F143" s="924"/>
      <c r="G143" s="924"/>
      <c r="H143" s="587" t="str">
        <f t="shared" ca="1" si="18"/>
        <v/>
      </c>
      <c r="I143" s="454" t="str">
        <f t="shared" ca="1" si="16"/>
        <v/>
      </c>
      <c r="J143" s="454" t="str">
        <f t="shared" ca="1" si="16"/>
        <v/>
      </c>
      <c r="M143" s="55">
        <v>94</v>
      </c>
      <c r="O143" s="288"/>
      <c r="P143" s="313" t="str">
        <f t="shared" ca="1" si="15"/>
        <v/>
      </c>
    </row>
    <row r="144" spans="1:16" x14ac:dyDescent="0.25">
      <c r="A144" s="924" t="str">
        <f t="shared" ca="1" si="17"/>
        <v/>
      </c>
      <c r="B144" s="924"/>
      <c r="C144" s="924"/>
      <c r="D144" s="924"/>
      <c r="E144" s="924"/>
      <c r="F144" s="924"/>
      <c r="G144" s="924"/>
      <c r="H144" s="587" t="str">
        <f t="shared" ca="1" si="18"/>
        <v/>
      </c>
      <c r="I144" s="454" t="str">
        <f t="shared" ref="I144:J144" ca="1" si="19">IF(ISERROR(INDEX(H$359:H$457,VLOOKUP(ROW(H144)-ROW(H$49),$J$359:$K$457,2,0),0)),"",INDEX(H$359:H$457,VLOOKUP(ROW(H144)-ROW(H$49),$J$359:$K$457,2,0),0))</f>
        <v/>
      </c>
      <c r="J144" s="454" t="str">
        <f t="shared" ca="1" si="19"/>
        <v/>
      </c>
      <c r="M144" s="55">
        <v>95</v>
      </c>
      <c r="O144" s="288" t="s">
        <v>519</v>
      </c>
      <c r="P144" s="313" t="str">
        <f t="shared" ca="1" si="15"/>
        <v/>
      </c>
    </row>
    <row r="145" spans="1:43" x14ac:dyDescent="0.25">
      <c r="A145" s="63"/>
      <c r="G145" s="587"/>
      <c r="H145" s="194"/>
      <c r="I145" s="834">
        <f ca="1">INDIRECT(ADDRESS(ROW()+N_Offset_M,COLUMN()+(N_SpracheAuswahl)*26,,,"Text"))</f>
        <v>0</v>
      </c>
      <c r="O145" s="313" t="s">
        <v>746</v>
      </c>
      <c r="P145" s="313"/>
    </row>
    <row r="146" spans="1:43" s="497" customFormat="1" ht="15" customHeight="1" x14ac:dyDescent="0.25">
      <c r="A146" s="496" t="str">
        <f ca="1">AA146</f>
        <v>Übertrag ins ASTeK bzw. für das Rechnungsformular</v>
      </c>
      <c r="B146" s="500"/>
      <c r="C146" s="500"/>
      <c r="D146" s="500"/>
      <c r="E146" s="500"/>
      <c r="F146" s="500"/>
      <c r="G146" s="500"/>
      <c r="H146" s="500"/>
      <c r="I146" s="498" t="str">
        <f ca="1">INDIRECT(ADDRESS(ROW()+N_Offset_M,COLUMN()+(N_SpracheAuswahl)*26,,,"Text"))</f>
        <v>Seite 4</v>
      </c>
      <c r="O146" s="499">
        <f t="shared" ref="O146:O153" ca="1" si="20">1*NOT(AA146=0)</f>
        <v>1</v>
      </c>
      <c r="AA146" s="496" t="str">
        <f t="shared" ref="AA146:AA152" ca="1" si="21">INDIRECT(ADDRESS(ROW()+N_Offset_M,COLUMN(A146)+(N_SpracheAuswahl)*26,,,"Text"))</f>
        <v>Übertrag ins ASTeK bzw. für das Rechnungsformular</v>
      </c>
      <c r="AB146" s="500"/>
      <c r="AC146" s="500"/>
      <c r="AD146" s="500"/>
      <c r="AE146" s="500"/>
      <c r="AF146" s="500"/>
      <c r="AG146" s="500"/>
      <c r="AH146" s="500"/>
      <c r="AI146" s="500"/>
      <c r="AM146" s="499"/>
      <c r="AO146" s="499"/>
      <c r="AQ146" s="499"/>
    </row>
    <row r="147" spans="1:43" s="395" customFormat="1" ht="15" customHeight="1" x14ac:dyDescent="0.25">
      <c r="A147" s="395" t="str">
        <f>'  B  '!C34&amp;" "&amp;'  B  '!C35&amp;", "&amp;'  B  '!C40</f>
        <v xml:space="preserve"> , </v>
      </c>
      <c r="B147" s="574"/>
      <c r="C147" s="574"/>
      <c r="D147" s="574"/>
      <c r="E147" s="574"/>
      <c r="F147" s="574"/>
      <c r="G147" s="574"/>
      <c r="H147" s="943">
        <f>P1</f>
        <v>45474</v>
      </c>
      <c r="I147" s="944"/>
      <c r="O147" s="408"/>
      <c r="AB147" s="574"/>
      <c r="AC147" s="574"/>
      <c r="AD147" s="574"/>
      <c r="AE147" s="574"/>
      <c r="AF147" s="574"/>
      <c r="AG147" s="574"/>
      <c r="AH147" s="574"/>
      <c r="AI147" s="574"/>
      <c r="AM147" s="408"/>
      <c r="AO147" s="408"/>
      <c r="AQ147" s="408"/>
    </row>
    <row r="148" spans="1:43" s="63" customFormat="1" ht="27" customHeight="1" x14ac:dyDescent="0.25">
      <c r="A148" s="891" t="str">
        <f ca="1">AA148</f>
        <v>Hinweise: untenstehende Angaben können gemäss Vorgaben der IV von der Lohnberechnung abweichen
LFP = Lohnfortzahlungspflicht</v>
      </c>
      <c r="B148" s="881"/>
      <c r="C148" s="881"/>
      <c r="D148" s="881"/>
      <c r="E148" s="881"/>
      <c r="F148" s="881"/>
      <c r="G148" s="881"/>
      <c r="H148" s="881"/>
      <c r="I148" s="881"/>
      <c r="O148" s="288">
        <f t="shared" ca="1" si="20"/>
        <v>1</v>
      </c>
      <c r="AA148" s="63" t="str">
        <f t="shared" ca="1" si="21"/>
        <v>Hinweise: untenstehende Angaben können gemäss Vorgaben der IV von der Lohnberechnung abweichen
LFP = Lohnfortzahlungspflicht</v>
      </c>
      <c r="AB148" s="206"/>
      <c r="AC148" s="206"/>
      <c r="AD148" s="206"/>
      <c r="AE148" s="206"/>
      <c r="AF148" s="206"/>
      <c r="AG148" s="206"/>
      <c r="AH148" s="206"/>
      <c r="AI148" s="206"/>
      <c r="AM148" s="152"/>
      <c r="AO148" s="152"/>
      <c r="AQ148" s="152"/>
    </row>
    <row r="149" spans="1:43" x14ac:dyDescent="0.25">
      <c r="A149" s="941" t="str">
        <f ca="1">AA149</f>
        <v>Übertragen Sie die grau hinterlegten Werte in das ASTeK unter Ausgaben für Assistenzpersonen.</v>
      </c>
      <c r="B149" s="942"/>
      <c r="C149" s="942"/>
      <c r="D149" s="942"/>
      <c r="E149" s="942"/>
      <c r="F149" s="942"/>
      <c r="G149" s="942"/>
      <c r="H149" s="942"/>
      <c r="I149" s="942"/>
      <c r="O149" s="288">
        <f t="shared" ca="1" si="20"/>
        <v>1</v>
      </c>
      <c r="AA149" s="55" t="str">
        <f t="shared" ca="1" si="21"/>
        <v>Übertragen Sie die grau hinterlegten Werte in das ASTeK unter Ausgaben für Assistenzpersonen.</v>
      </c>
    </row>
    <row r="150" spans="1:43" ht="25.2" customHeight="1" x14ac:dyDescent="0.25">
      <c r="A150"/>
      <c r="B150"/>
      <c r="C150"/>
      <c r="D150"/>
      <c r="E150" s="817" t="str">
        <f ca="1">(AC150)</f>
        <v>für AB-IV / AB Kanton</v>
      </c>
      <c r="F150"/>
      <c r="G150"/>
      <c r="H150"/>
      <c r="I150"/>
      <c r="J150"/>
      <c r="K150"/>
      <c r="O150" s="288">
        <f t="shared" ca="1" si="20"/>
        <v>1</v>
      </c>
      <c r="AA150" s="55" t="str">
        <f t="shared" ca="1" si="21"/>
        <v>Position im Rechnungsformular:</v>
      </c>
      <c r="AC150" s="55" t="str">
        <f ca="1">INDIRECT(ADDRESS(ROW()+N_Offset_M,COLUMN(E150)+(N_SpracheAuswahl)*26,,,"Text"))</f>
        <v>für AB-IV / AB Kanton</v>
      </c>
    </row>
    <row r="151" spans="1:43" ht="39.9" customHeight="1" thickBot="1" x14ac:dyDescent="0.3">
      <c r="A151" s="958" t="str">
        <f ca="1">AA151</f>
        <v>Spaltenbezeichnung:</v>
      </c>
      <c r="B151" s="958"/>
      <c r="C151" s="958"/>
      <c r="D151" s="959"/>
      <c r="E151" s="371" t="str">
        <f ca="1">AE151</f>
        <v>Stunden Standard</v>
      </c>
      <c r="F151" s="371" t="str">
        <f ca="1">AF151</f>
        <v>Stunden Quali B</v>
      </c>
      <c r="G151" s="371" t="str">
        <f ca="1">AG151</f>
        <v>Anzahl Nächte</v>
      </c>
      <c r="H151" s="371" t="str">
        <f ca="1">AH151</f>
        <v>LFP CHF (OR 324a)</v>
      </c>
      <c r="I151" s="371" t="str">
        <f ca="1">AI151</f>
        <v>LFP CHF (OR 324)</v>
      </c>
      <c r="J151" s="371" t="str">
        <f t="shared" ref="J151" ca="1" si="22">AJ151</f>
        <v>LFP Stunden (OR 324)</v>
      </c>
      <c r="K151"/>
      <c r="O151" s="288">
        <f t="shared" ca="1" si="20"/>
        <v>1</v>
      </c>
      <c r="AA151" s="55" t="str">
        <f t="shared" ca="1" si="21"/>
        <v>Spaltenbezeichnung:</v>
      </c>
      <c r="AE151" s="292" t="str">
        <f t="shared" ref="AE151:AJ151" ca="1" si="23">INDIRECT(ADDRESS(ROW()+N_Offset_M,COLUMN(E151)+(N_SpracheAuswahl)*26,,,"Text"))</f>
        <v>Stunden Standard</v>
      </c>
      <c r="AF151" s="292" t="str">
        <f t="shared" ca="1" si="23"/>
        <v>Stunden Quali B</v>
      </c>
      <c r="AG151" s="292" t="str">
        <f t="shared" ca="1" si="23"/>
        <v>Anzahl Nächte</v>
      </c>
      <c r="AH151" s="292" t="str">
        <f t="shared" ca="1" si="23"/>
        <v>LFP CHF (OR 324a)</v>
      </c>
      <c r="AI151" s="292" t="str">
        <f t="shared" ca="1" si="23"/>
        <v>LFP CHF (OR 324)</v>
      </c>
      <c r="AJ151" s="292" t="str">
        <f t="shared" ca="1" si="23"/>
        <v>LFP Stunden (OR 324)</v>
      </c>
    </row>
    <row r="152" spans="1:43" ht="27" customHeight="1" thickBot="1" x14ac:dyDescent="0.3">
      <c r="A152" s="925" t="str">
        <f ca="1">AA152</f>
        <v>Werte:</v>
      </c>
      <c r="B152" s="926"/>
      <c r="C152" s="926"/>
      <c r="D152" s="927"/>
      <c r="E152" s="579">
        <f ca="1">(P28+IF(N_NachtStufe=0,P30*OFFSET(Vorgabewerte!$E10:$E14,N_NachtStufe,0,1,1),0))</f>
        <v>0</v>
      </c>
      <c r="F152" s="579">
        <f ca="1">P29</f>
        <v>0</v>
      </c>
      <c r="G152" s="580">
        <f ca="1">IF(N_NachtStufe=0,0,P30+F316)</f>
        <v>0</v>
      </c>
      <c r="H152" s="580">
        <f ca="1">'  B  '!C28*(F161+F172+F183)+SUM($DM$295:$DO$295)</f>
        <v>0</v>
      </c>
      <c r="I152" s="686">
        <f ca="1">('  B  '!C28*E155)+DI295</f>
        <v>0</v>
      </c>
      <c r="J152" s="579">
        <f ca="1">SUMIF($AE$264:$AE$294,4,$I$264:$I$294)</f>
        <v>0</v>
      </c>
      <c r="K152"/>
      <c r="O152" s="288">
        <f t="shared" ca="1" si="20"/>
        <v>1</v>
      </c>
      <c r="AA152" s="55" t="str">
        <f t="shared" ca="1" si="21"/>
        <v>Werte:</v>
      </c>
    </row>
    <row r="153" spans="1:43" ht="25.2" customHeight="1" x14ac:dyDescent="0.25">
      <c r="F153" s="826" t="str">
        <f ca="1">(AF153)</f>
        <v>nur für AB Kanton</v>
      </c>
      <c r="J153" s="63"/>
      <c r="O153" s="288">
        <f t="shared" si="20"/>
        <v>0</v>
      </c>
      <c r="AF153" s="55" t="str">
        <f ca="1">INDIRECT(ADDRESS(ROW()+N_Offset_M,COLUMN(F153)+(N_SpracheAuswahl)*26,,,"Text"))</f>
        <v>nur für AB Kanton</v>
      </c>
    </row>
    <row r="154" spans="1:43" ht="39.9" customHeight="1" thickBot="1" x14ac:dyDescent="0.3">
      <c r="A154" s="960" t="str">
        <f ca="1">AA154</f>
        <v>Spaltenbezeichnung:</v>
      </c>
      <c r="B154" s="960"/>
      <c r="C154" s="960"/>
      <c r="D154" s="961"/>
      <c r="E154" s="818" t="str">
        <f t="shared" ref="E154:J154" ca="1" si="24">IF($O154=0,"",AE154)</f>
        <v>LFP Nächte (OR 324)</v>
      </c>
      <c r="F154" s="819" t="str">
        <f t="shared" ca="1" si="24"/>
        <v>Nettolohn</v>
      </c>
      <c r="G154" s="371" t="str">
        <f t="shared" ca="1" si="24"/>
        <v>Sozial-beiträge</v>
      </c>
      <c r="H154" s="371" t="str">
        <f t="shared" ca="1" si="24"/>
        <v>Spesen</v>
      </c>
      <c r="I154" s="371" t="str">
        <f t="shared" ca="1" si="24"/>
        <v>Ferientage bezogen</v>
      </c>
      <c r="J154" s="371" t="str">
        <f t="shared" ca="1" si="24"/>
        <v>LFP CHF (OR 324a)</v>
      </c>
      <c r="O154" s="288">
        <f ca="1">1*NOT(AA154=0)</f>
        <v>1</v>
      </c>
      <c r="P154" s="382"/>
      <c r="AA154" s="55" t="str">
        <f ca="1">INDIRECT(ADDRESS(ROW()+N_Offset_M,COLUMN(A154)+(N_SpracheAuswahl)*26,,,"Text"))</f>
        <v>Spaltenbezeichnung:</v>
      </c>
      <c r="AE154" s="55" t="str">
        <f ca="1">INDIRECT(ADDRESS(ROW()+N_Offset_M,COLUMN(E154)+(N_SpracheAuswahl)*26,,,"Text"))</f>
        <v>LFP Nächte (OR 324)</v>
      </c>
      <c r="AF154" s="55" t="str">
        <f ca="1">INDIRECT(ADDRESS(ROW()+N_Offset_M,COLUMN(F154)+(N_SpracheAuswahl)*26,,,"Text"))</f>
        <v>Nettolohn</v>
      </c>
      <c r="AG154" s="55" t="str">
        <f ca="1">INDIRECT(ADDRESS(ROW()+N_Offset_M,COLUMN(G154)+(N_SpracheAuswahl)*26,,,"Text"))</f>
        <v>Sozial-beiträge</v>
      </c>
      <c r="AH154" s="55" t="str">
        <f ca="1">INDIRECT(ADDRESS(ROW()+N_Offset_M,COLUMN(H154)+(N_SpracheAuswahl)*26,,,"Text"))</f>
        <v>Spesen</v>
      </c>
      <c r="AI154" s="55" t="str">
        <f ca="1">INDIRECT(ADDRESS(ROW()+N_Offset_M,COLUMN(I154)+(N_SpracheAuswahl)*26,,,"Text"))</f>
        <v>Ferientage bezogen</v>
      </c>
      <c r="AJ154" s="55" t="str">
        <f ca="1">INDIRECT(ADDRESS(ROW()+N_Offset_M,COLUMN(J154)+(N_SpracheAuswahl)*26,,,"Text"))</f>
        <v>LFP CHF (OR 324a)</v>
      </c>
    </row>
    <row r="155" spans="1:43" ht="13.8" thickBot="1" x14ac:dyDescent="0.3">
      <c r="A155" s="960" t="str">
        <f ca="1">AA155</f>
        <v>Werte:</v>
      </c>
      <c r="B155" s="960"/>
      <c r="C155" s="960"/>
      <c r="D155" s="962"/>
      <c r="E155" s="524">
        <f>SUM(I248)</f>
        <v>0</v>
      </c>
      <c r="F155" s="524">
        <f ca="1">I430-I33-I35</f>
        <v>0</v>
      </c>
      <c r="G155" s="524">
        <f ca="1">-I428-P428</f>
        <v>0</v>
      </c>
      <c r="H155" s="524">
        <f ca="1">I433+I440</f>
        <v>0</v>
      </c>
      <c r="I155" s="524">
        <f ca="1">I202-I211</f>
        <v>0</v>
      </c>
      <c r="J155" s="580">
        <f ca="1">'  B  '!C61*(F161+F172+F183)+SUM($DE$295:$DG$295)</f>
        <v>0</v>
      </c>
      <c r="O155" s="288">
        <f ca="1">1*NOT(AA155=0)</f>
        <v>1</v>
      </c>
      <c r="AA155" s="55" t="str">
        <f ca="1">INDIRECT(ADDRESS(ROW()+N_Offset_M,COLUMN(A155)+(N_SpracheAuswahl)*26,,,"Text"))</f>
        <v>Werte:</v>
      </c>
      <c r="AB155" s="55">
        <f ca="1">INDIRECT(ADDRESS(ROW()+N_Offset_M,COLUMN(B155)+(N_SpracheAuswahl)*26,,,"Text"))</f>
        <v>0</v>
      </c>
    </row>
    <row r="156" spans="1:43" x14ac:dyDescent="0.25">
      <c r="J156" s="63"/>
      <c r="O156" s="288"/>
    </row>
    <row r="157" spans="1:43" ht="42.6" customHeight="1" thickBot="1" x14ac:dyDescent="0.3">
      <c r="A157" s="957" t="str">
        <f t="shared" ref="A157:A189" ca="1" si="25">IF(O157=0,"",IF(O157=1,AA157,P157))</f>
        <v xml:space="preserve"> - Übertragen Sie die grau hinterlegten Werte in das ASTeK in Zusatzangaben bei Lohnfortzahlung (OR 324a) ausser Krankheit, Schwangerschaft (ohne Lohnanspruch)
 - Mutterschaftsurlaub muss manuell berechnet werden, siehe Hinweis Zeile 331</v>
      </c>
      <c r="B157" s="957"/>
      <c r="C157" s="957"/>
      <c r="D157" s="957"/>
      <c r="E157" s="957"/>
      <c r="F157" s="957"/>
      <c r="G157" s="957"/>
      <c r="H157" s="957"/>
      <c r="I157" s="957"/>
      <c r="J157" s="957"/>
      <c r="N157" s="87"/>
      <c r="O157" s="288">
        <v>1</v>
      </c>
      <c r="P157" s="658" t="str">
        <f ca="1">B_WeiterInZeile&amp;" "&amp;ROW(A$199)</f>
        <v>weiter in Zeile  199</v>
      </c>
      <c r="AA157" s="55" t="str">
        <f t="shared" ref="AA157:AA167" ca="1" si="26">INDIRECT(ADDRESS(ROW()+N_Offset_M,COLUMN(A157)+(N_SpracheAuswahl)*26,,,"Text"))</f>
        <v xml:space="preserve"> - Übertragen Sie die grau hinterlegten Werte in das ASTeK in Zusatzangaben bei Lohnfortzahlung (OR 324a) ausser Krankheit, Schwangerschaft (ohne Lohnanspruch)
 - Mutterschaftsurlaub muss manuell berechnet werden, siehe Hinweis Zeile 331</v>
      </c>
    </row>
    <row r="158" spans="1:43" ht="13.8" thickBot="1" x14ac:dyDescent="0.3">
      <c r="A158" s="864" t="str">
        <f t="shared" ca="1" si="25"/>
        <v>Lohnfortzahlung von</v>
      </c>
      <c r="B158" s="864"/>
      <c r="C158" s="864"/>
      <c r="D158" s="864"/>
      <c r="E158" s="865"/>
      <c r="F158" s="181">
        <f>IF(O158&gt;0,I214,"")</f>
        <v>0</v>
      </c>
      <c r="G158" s="180"/>
      <c r="H158" s="180"/>
      <c r="I158" s="180"/>
      <c r="O158" s="288">
        <v>1</v>
      </c>
      <c r="AA158" s="55" t="str">
        <f t="shared" ca="1" si="26"/>
        <v>Lohnfortzahlung von</v>
      </c>
    </row>
    <row r="159" spans="1:43" ht="13.8" thickBot="1" x14ac:dyDescent="0.3">
      <c r="A159" s="864" t="str">
        <f t="shared" ca="1" si="25"/>
        <v>Lohnfortzahlung bis</v>
      </c>
      <c r="B159" s="864"/>
      <c r="C159" s="864"/>
      <c r="D159" s="864"/>
      <c r="E159" s="865"/>
      <c r="F159" s="181">
        <f ca="1">IF(O159&gt;0,IF(S216=$Y$260,IF(AND(I220&lt;I215,I220&gt;I214),I220-1,I215),IF(S216=$Z$260,MIN(I214+1,I215),I215)),"")</f>
        <v>0</v>
      </c>
      <c r="G159" s="180"/>
      <c r="H159" s="180"/>
      <c r="I159" s="180"/>
      <c r="O159" s="288">
        <v>1</v>
      </c>
      <c r="AA159" s="55" t="str">
        <f t="shared" ca="1" si="26"/>
        <v>Lohnfortzahlung bis</v>
      </c>
    </row>
    <row r="160" spans="1:43" ht="13.8" thickBot="1" x14ac:dyDescent="0.3">
      <c r="A160" s="864" t="str">
        <f t="shared" ca="1" si="25"/>
        <v xml:space="preserve">Lohnfortzahlung für </v>
      </c>
      <c r="B160" s="864"/>
      <c r="C160" s="864"/>
      <c r="D160" s="864"/>
      <c r="E160" s="865"/>
      <c r="F160" s="184" t="str">
        <f>IF(O160&gt;0,'  B  '!C35&amp;", "&amp;'  B  '!C34,"")</f>
        <v xml:space="preserve">, </v>
      </c>
      <c r="G160" s="180"/>
      <c r="H160" s="180"/>
      <c r="I160" s="180"/>
      <c r="O160" s="288">
        <v>1</v>
      </c>
      <c r="AA160" s="55" t="str">
        <f t="shared" ca="1" si="26"/>
        <v xml:space="preserve">Lohnfortzahlung für </v>
      </c>
    </row>
    <row r="161" spans="1:36" ht="13.8" thickBot="1" x14ac:dyDescent="0.3">
      <c r="A161" s="864" t="str">
        <f ca="1">IF(O161=0,"",IF(O161=1,AA161,P161))</f>
        <v>Lohnfortzahlung Nächte</v>
      </c>
      <c r="B161" s="864"/>
      <c r="C161" s="864"/>
      <c r="D161" s="864"/>
      <c r="E161" s="865"/>
      <c r="F161" s="182">
        <f>SUM(I222)</f>
        <v>0</v>
      </c>
      <c r="G161" s="180"/>
      <c r="H161" s="180"/>
      <c r="I161" s="180"/>
      <c r="O161" s="288">
        <v>1</v>
      </c>
      <c r="AA161" s="55" t="str">
        <f t="shared" ca="1" si="26"/>
        <v>Lohnfortzahlung Nächte</v>
      </c>
      <c r="AF161" s="55" t="str">
        <f t="shared" ref="AF161" ca="1" si="27">INDIRECT(ADDRESS(ROW()+N_Offset_M,COLUMN(F161)+(N_SpracheAuswahl)*26,,,"Text"))</f>
        <v>muss manuell ausgerechnet werden, siehe Zeile</v>
      </c>
      <c r="AJ161" s="55">
        <f>ROW(A$331)</f>
        <v>331</v>
      </c>
    </row>
    <row r="162" spans="1:36" ht="13.8" thickBot="1" x14ac:dyDescent="0.3">
      <c r="A162" s="864" t="str">
        <f t="shared" ref="A162" ca="1" si="28">IF(O162=0,"",IF(O162=1,AA162,P162))</f>
        <v>Lohnfortzahlung Stunden</v>
      </c>
      <c r="B162" s="864"/>
      <c r="C162" s="864"/>
      <c r="D162" s="864"/>
      <c r="E162" s="865"/>
      <c r="F162" s="860">
        <f ca="1">SUMIF($A$264:$A$294,"&lt;="&amp;F159,$I$264:$I$294)-SUMIF($A$264:$A$294,"&lt;"&amp;F158,$I$264:$I$294)</f>
        <v>0</v>
      </c>
      <c r="G162" s="861"/>
      <c r="H162" s="861"/>
      <c r="I162" s="861"/>
      <c r="O162" s="288">
        <v>1</v>
      </c>
      <c r="AA162" s="55" t="str">
        <f t="shared" ca="1" si="26"/>
        <v>Lohnfortzahlung Stunden</v>
      </c>
    </row>
    <row r="163" spans="1:36" ht="13.8" thickBot="1" x14ac:dyDescent="0.3">
      <c r="A163" s="864" t="str">
        <f t="shared" ca="1" si="25"/>
        <v>Grund der Arbeitsunfähigkeit</v>
      </c>
      <c r="B163" s="864"/>
      <c r="C163" s="864"/>
      <c r="D163" s="864"/>
      <c r="E163" s="865"/>
      <c r="F163" s="184">
        <f>IF(O163&gt;0,G216,"")</f>
        <v>0</v>
      </c>
      <c r="G163" s="180"/>
      <c r="H163" s="180"/>
      <c r="I163" s="180"/>
      <c r="O163" s="288">
        <v>1</v>
      </c>
      <c r="AA163" s="55" t="str">
        <f t="shared" ca="1" si="26"/>
        <v>Grund der Arbeitsunfähigkeit</v>
      </c>
    </row>
    <row r="164" spans="1:36" ht="13.8" thickBot="1" x14ac:dyDescent="0.3">
      <c r="A164" s="864" t="str">
        <f t="shared" ca="1" si="25"/>
        <v>Grund, falls andere</v>
      </c>
      <c r="B164" s="864"/>
      <c r="C164" s="864"/>
      <c r="D164" s="864"/>
      <c r="E164" s="865"/>
      <c r="F164" s="291"/>
      <c r="G164" s="290"/>
      <c r="H164" s="290"/>
      <c r="I164" s="290"/>
      <c r="O164" s="288">
        <v>1</v>
      </c>
      <c r="AA164" s="55" t="str">
        <f t="shared" ca="1" si="26"/>
        <v>Grund, falls andere</v>
      </c>
    </row>
    <row r="165" spans="1:36" ht="13.8" thickBot="1" x14ac:dyDescent="0.3">
      <c r="A165" s="864" t="str">
        <f t="shared" ca="1" si="25"/>
        <v>Rückerstattung anderer Versicherungen</v>
      </c>
      <c r="B165" s="864"/>
      <c r="C165" s="864"/>
      <c r="D165" s="864"/>
      <c r="E165" s="865"/>
      <c r="F165" s="182" t="str">
        <f ca="1">IF(O166&gt;0,IF(F166&gt;0,OFFSET(L_JaNein,0,0,1,1),OFFSET(L_JaNein,1,0,1,1)),"")</f>
        <v>Nein</v>
      </c>
      <c r="G165" s="180"/>
      <c r="H165" s="180"/>
      <c r="I165" s="180"/>
      <c r="O165" s="288">
        <v>1</v>
      </c>
      <c r="AA165" s="55" t="str">
        <f t="shared" ca="1" si="26"/>
        <v>Rückerstattung anderer Versicherungen</v>
      </c>
    </row>
    <row r="166" spans="1:36" ht="13.8" thickBot="1" x14ac:dyDescent="0.3">
      <c r="A166" s="864" t="str">
        <f t="shared" ca="1" si="25"/>
        <v>Rückerstattung in CHF</v>
      </c>
      <c r="B166" s="864"/>
      <c r="C166" s="864"/>
      <c r="D166" s="864"/>
      <c r="E166" s="865"/>
      <c r="F166" s="182"/>
      <c r="G166" s="180"/>
      <c r="H166" s="180"/>
      <c r="I166" s="180"/>
      <c r="O166" s="288">
        <v>1</v>
      </c>
      <c r="AA166" s="55" t="str">
        <f t="shared" ca="1" si="26"/>
        <v>Rückerstattung in CHF</v>
      </c>
    </row>
    <row r="167" spans="1:36" ht="13.8" thickBot="1" x14ac:dyDescent="0.3">
      <c r="A167" s="864" t="str">
        <f t="shared" ca="1" si="25"/>
        <v>Wartefrist</v>
      </c>
      <c r="B167" s="864"/>
      <c r="C167" s="864"/>
      <c r="D167" s="864"/>
      <c r="E167" s="865"/>
      <c r="F167" s="183" t="str">
        <f ca="1">IF(O167&gt;0,IF(VLOOKUP(F165,A_JaNein_Auswahl,2,0)=1,IF(ISERROR(P167),"",P167),""),"")</f>
        <v/>
      </c>
      <c r="G167" s="180"/>
      <c r="H167" s="180"/>
      <c r="I167" s="180"/>
      <c r="O167" s="288">
        <v>1</v>
      </c>
      <c r="P167" s="289" t="str">
        <f ca="1">IF(AND(S216=5,'  B  '!F$110=1),'  B  '!C$111,IF(AND(S216=6,S217=0),'  B  '!F$104,""))</f>
        <v/>
      </c>
      <c r="AA167" s="55" t="str">
        <f t="shared" ca="1" si="26"/>
        <v>Wartefrist</v>
      </c>
    </row>
    <row r="168" spans="1:36" ht="13.8" thickBot="1" x14ac:dyDescent="0.3">
      <c r="I168" s="179"/>
      <c r="O168" s="288">
        <v>1</v>
      </c>
    </row>
    <row r="169" spans="1:36" ht="13.8" thickBot="1" x14ac:dyDescent="0.3">
      <c r="A169" s="864" t="str">
        <f ca="1">IF(O169=0,"",IF(O169=1,AA169,P169))</f>
        <v>Lohnfortzahlung von</v>
      </c>
      <c r="B169" s="864"/>
      <c r="C169" s="864"/>
      <c r="D169" s="864"/>
      <c r="E169" s="865"/>
      <c r="F169" s="181">
        <f>IF(O169&gt;0,I224,"")</f>
        <v>0</v>
      </c>
      <c r="G169" s="180"/>
      <c r="H169" s="180"/>
      <c r="I169" s="180"/>
      <c r="O169" s="288">
        <v>1</v>
      </c>
      <c r="P169" s="289" t="str">
        <f ca="1">B_WeiterInZeile&amp;" "&amp;ROW(A$199)</f>
        <v>weiter in Zeile  199</v>
      </c>
      <c r="AA169" s="55" t="str">
        <f t="shared" ref="AA169:AA178" ca="1" si="29">INDIRECT(ADDRESS(ROW()+N_Offset_M,COLUMN(A170)+(N_SpracheAuswahl)*26,,,"Text"))</f>
        <v>Lohnfortzahlung von</v>
      </c>
    </row>
    <row r="170" spans="1:36" ht="13.8" thickBot="1" x14ac:dyDescent="0.3">
      <c r="A170" s="864" t="str">
        <f t="shared" ca="1" si="25"/>
        <v>Lohnfortzahlung bis</v>
      </c>
      <c r="B170" s="864"/>
      <c r="C170" s="864"/>
      <c r="D170" s="864"/>
      <c r="E170" s="865"/>
      <c r="F170" s="181">
        <f ca="1">IF(O170&gt;0,IF(S226=$Y$260,IF(AND(I230&lt;I225,I230&gt;I224),I230-1,I225),IF(S226=$Z$260,MIN(I224+1,I225),I225)),"")</f>
        <v>0</v>
      </c>
      <c r="G170" s="180"/>
      <c r="H170" s="180"/>
      <c r="I170" s="180"/>
      <c r="O170" s="288">
        <v>1</v>
      </c>
      <c r="AA170" s="55" t="str">
        <f t="shared" ca="1" si="29"/>
        <v>Lohnfortzahlung bis</v>
      </c>
    </row>
    <row r="171" spans="1:36" ht="13.8" thickBot="1" x14ac:dyDescent="0.3">
      <c r="A171" s="864" t="str">
        <f t="shared" ca="1" si="25"/>
        <v xml:space="preserve">Lohnfortzahlung für </v>
      </c>
      <c r="B171" s="864"/>
      <c r="C171" s="864"/>
      <c r="D171" s="864"/>
      <c r="E171" s="865"/>
      <c r="F171" s="183" t="str">
        <f>IF(O171&gt;0,'  B  '!C35&amp;", "&amp;'  B  '!C34,"")</f>
        <v xml:space="preserve">, </v>
      </c>
      <c r="G171" s="180"/>
      <c r="H171" s="180"/>
      <c r="I171" s="180"/>
      <c r="O171" s="288">
        <v>1</v>
      </c>
      <c r="AA171" s="55" t="str">
        <f t="shared" ca="1" si="29"/>
        <v xml:space="preserve">Lohnfortzahlung für </v>
      </c>
      <c r="AJ171" s="55">
        <f>ROW(A$331)</f>
        <v>331</v>
      </c>
    </row>
    <row r="172" spans="1:36" ht="13.8" thickBot="1" x14ac:dyDescent="0.3">
      <c r="A172" s="864" t="str">
        <f t="shared" ca="1" si="25"/>
        <v>Lohnfortzahlung Nächte</v>
      </c>
      <c r="B172" s="864"/>
      <c r="C172" s="864"/>
      <c r="D172" s="864"/>
      <c r="E172" s="865"/>
      <c r="F172" s="182">
        <f>SUM(I232)</f>
        <v>0</v>
      </c>
      <c r="G172" s="180"/>
      <c r="H172" s="180"/>
      <c r="I172" s="180"/>
      <c r="O172" s="288">
        <v>1</v>
      </c>
      <c r="AA172" s="55" t="str">
        <f t="shared" ca="1" si="29"/>
        <v>Lohnfortzahlung Nächte</v>
      </c>
    </row>
    <row r="173" spans="1:36" ht="13.8" thickBot="1" x14ac:dyDescent="0.3">
      <c r="A173" s="864" t="str">
        <f t="shared" ca="1" si="25"/>
        <v>Lohnfortzahlung Stunden</v>
      </c>
      <c r="B173" s="864"/>
      <c r="C173" s="864"/>
      <c r="D173" s="864"/>
      <c r="E173" s="865"/>
      <c r="F173" s="860">
        <f ca="1">SUMIF($A$264:$A$294,"&lt;="&amp;F170,$I$264:$I$294)-SUMIF($A$264:$A$294,"&lt;"&amp;F169,$I$264:$I$294)</f>
        <v>0</v>
      </c>
      <c r="G173" s="861"/>
      <c r="H173" s="861"/>
      <c r="I173" s="861"/>
      <c r="O173" s="288">
        <v>1</v>
      </c>
      <c r="AA173" s="55" t="str">
        <f t="shared" ca="1" si="29"/>
        <v>Lohnfortzahlung Stunden</v>
      </c>
    </row>
    <row r="174" spans="1:36" ht="13.8" thickBot="1" x14ac:dyDescent="0.3">
      <c r="A174" s="864" t="str">
        <f t="shared" ca="1" si="25"/>
        <v>Grund der Arbeitsunfähigkeit</v>
      </c>
      <c r="B174" s="864"/>
      <c r="C174" s="864"/>
      <c r="D174" s="864"/>
      <c r="E174" s="865"/>
      <c r="F174" s="183">
        <f>IF(O174&gt;0,G226,"")</f>
        <v>0</v>
      </c>
      <c r="G174" s="180"/>
      <c r="H174" s="180"/>
      <c r="I174" s="180"/>
      <c r="O174" s="288">
        <v>1</v>
      </c>
      <c r="AA174" s="55" t="str">
        <f t="shared" ca="1" si="29"/>
        <v>Grund der Arbeitsunfähigkeit</v>
      </c>
    </row>
    <row r="175" spans="1:36" ht="13.8" thickBot="1" x14ac:dyDescent="0.3">
      <c r="A175" s="864" t="str">
        <f t="shared" ca="1" si="25"/>
        <v>Grund, falls andere</v>
      </c>
      <c r="B175" s="864"/>
      <c r="C175" s="864"/>
      <c r="D175" s="864"/>
      <c r="E175" s="865"/>
      <c r="F175" s="291"/>
      <c r="G175" s="290"/>
      <c r="H175" s="690"/>
      <c r="I175" s="290"/>
      <c r="O175" s="288">
        <v>1</v>
      </c>
      <c r="AA175" s="55" t="str">
        <f t="shared" ca="1" si="29"/>
        <v>Grund, falls andere</v>
      </c>
    </row>
    <row r="176" spans="1:36" ht="13.8" thickBot="1" x14ac:dyDescent="0.3">
      <c r="A176" s="864" t="str">
        <f t="shared" ca="1" si="25"/>
        <v>Rückerstattung anderer Versicherungen</v>
      </c>
      <c r="B176" s="864"/>
      <c r="C176" s="864"/>
      <c r="D176" s="864"/>
      <c r="E176" s="865"/>
      <c r="F176" s="182" t="str">
        <f ca="1">IF(O176&gt;0,IF(F177&gt;0,OFFSET(L_JaNein,0,0,1,1),OFFSET(L_JaNein,1,0,1,1)),"")</f>
        <v>Nein</v>
      </c>
      <c r="G176" s="180"/>
      <c r="H176" s="180"/>
      <c r="I176" s="180"/>
      <c r="O176" s="288">
        <v>1</v>
      </c>
      <c r="AA176" s="55" t="str">
        <f t="shared" ca="1" si="29"/>
        <v>Rückerstattung anderer Versicherungen</v>
      </c>
    </row>
    <row r="177" spans="1:36" ht="13.8" thickBot="1" x14ac:dyDescent="0.3">
      <c r="A177" s="864" t="str">
        <f t="shared" ca="1" si="25"/>
        <v>Rückerstattung in CHF</v>
      </c>
      <c r="B177" s="864"/>
      <c r="C177" s="864"/>
      <c r="D177" s="864"/>
      <c r="E177" s="865"/>
      <c r="F177" s="182"/>
      <c r="G177" s="180"/>
      <c r="H177" s="180"/>
      <c r="I177" s="180"/>
      <c r="O177" s="288">
        <v>1</v>
      </c>
      <c r="AA177" s="55" t="str">
        <f t="shared" ca="1" si="29"/>
        <v>Rückerstattung in CHF</v>
      </c>
    </row>
    <row r="178" spans="1:36" ht="13.8" thickBot="1" x14ac:dyDescent="0.3">
      <c r="A178" s="864" t="str">
        <f t="shared" ca="1" si="25"/>
        <v>Wartefrist</v>
      </c>
      <c r="B178" s="864"/>
      <c r="C178" s="864"/>
      <c r="D178" s="864"/>
      <c r="E178" s="865"/>
      <c r="F178" s="182" t="str">
        <f ca="1">IF(O178&gt;0,IF(VLOOKUP(F176,A_JaNein_Auswahl,2,0)=1,IF(ISERROR(P178),"",P178),""),"")</f>
        <v/>
      </c>
      <c r="G178" s="180"/>
      <c r="H178" s="180"/>
      <c r="I178" s="180"/>
      <c r="O178" s="288">
        <v>1</v>
      </c>
      <c r="P178" s="289" t="str">
        <f ca="1">IF(AND(S226=5,'  B  '!F$110=1),'  B  '!C$111,IF(AND(S226=6,S227=0),'  B  '!F$104,""))</f>
        <v/>
      </c>
      <c r="AA178" s="55" t="str">
        <f t="shared" ca="1" si="29"/>
        <v>Wartefrist</v>
      </c>
    </row>
    <row r="179" spans="1:36" ht="13.8" thickBot="1" x14ac:dyDescent="0.3">
      <c r="F179" s="55" t="str">
        <f ca="1">IF(O179&gt;0,IF(VLOOKUP(F177,A_JaNein_Auswahl,2,0)=1,IF(ISERROR(P179),"",P179),""),"")</f>
        <v/>
      </c>
      <c r="I179" s="179"/>
      <c r="O179" s="288">
        <v>1</v>
      </c>
    </row>
    <row r="180" spans="1:36" ht="13.8" thickBot="1" x14ac:dyDescent="0.3">
      <c r="A180" s="864" t="str">
        <f t="shared" ref="A180" ca="1" si="30">IF(O180=0,"",IF(O180=1,AA180,P180))</f>
        <v>Lohnfortzahlung von</v>
      </c>
      <c r="B180" s="864"/>
      <c r="C180" s="864"/>
      <c r="D180" s="864"/>
      <c r="E180" s="865"/>
      <c r="F180" s="181">
        <f>IF(O180&gt;0,I234,"")</f>
        <v>0</v>
      </c>
      <c r="G180" s="180"/>
      <c r="H180" s="180"/>
      <c r="I180" s="180"/>
      <c r="O180" s="288">
        <v>1</v>
      </c>
      <c r="P180" s="289" t="str">
        <f ca="1">B_WeiterInZeile&amp;" "&amp;ROW(A$199)</f>
        <v>weiter in Zeile  199</v>
      </c>
      <c r="AA180" s="55" t="str">
        <f t="shared" ref="AA180:AA189" ca="1" si="31">INDIRECT(ADDRESS(ROW()+N_Offset_M,COLUMN(A181)+(N_SpracheAuswahl)*26,,,"Text"))</f>
        <v>Lohnfortzahlung von</v>
      </c>
    </row>
    <row r="181" spans="1:36" ht="13.8" thickBot="1" x14ac:dyDescent="0.3">
      <c r="A181" s="864" t="str">
        <f t="shared" ca="1" si="25"/>
        <v>Lohnfortzahlung bis</v>
      </c>
      <c r="B181" s="864"/>
      <c r="C181" s="864"/>
      <c r="D181" s="864"/>
      <c r="E181" s="865"/>
      <c r="F181" s="181">
        <f ca="1">IF(O181&gt;0,IF(S236=$Y$260,IF(AND(I240&lt;I235,I240&gt;I234),I240-1,I235),IF(S236=$Z$260,MIN(I234+1,I235),I235)),"")</f>
        <v>0</v>
      </c>
      <c r="G181" s="180"/>
      <c r="H181" s="180"/>
      <c r="I181" s="180"/>
      <c r="O181" s="288">
        <v>1</v>
      </c>
      <c r="AA181" s="55" t="str">
        <f t="shared" ca="1" si="31"/>
        <v>Lohnfortzahlung bis</v>
      </c>
      <c r="AJ181" s="55">
        <f>ROW(A$331)</f>
        <v>331</v>
      </c>
    </row>
    <row r="182" spans="1:36" ht="13.8" thickBot="1" x14ac:dyDescent="0.3">
      <c r="A182" s="864" t="str">
        <f t="shared" ca="1" si="25"/>
        <v xml:space="preserve">Lohnfortzahlung für </v>
      </c>
      <c r="B182" s="864"/>
      <c r="C182" s="864"/>
      <c r="D182" s="864"/>
      <c r="E182" s="865"/>
      <c r="F182" s="183" t="str">
        <f>IF(O182&gt;0,'  B  '!C35&amp;", "&amp;'  B  '!C34,"")</f>
        <v xml:space="preserve">, </v>
      </c>
      <c r="G182" s="180"/>
      <c r="H182" s="180"/>
      <c r="I182" s="180"/>
      <c r="O182" s="288">
        <v>1</v>
      </c>
      <c r="AA182" s="55" t="str">
        <f t="shared" ca="1" si="31"/>
        <v xml:space="preserve">Lohnfortzahlung für </v>
      </c>
    </row>
    <row r="183" spans="1:36" ht="13.8" thickBot="1" x14ac:dyDescent="0.3">
      <c r="A183" s="864" t="str">
        <f t="shared" ca="1" si="25"/>
        <v>Lohnfortzahlung Nächte</v>
      </c>
      <c r="B183" s="864"/>
      <c r="C183" s="864"/>
      <c r="D183" s="864"/>
      <c r="E183" s="865"/>
      <c r="F183" s="182">
        <f>SUM(I242)</f>
        <v>0</v>
      </c>
      <c r="G183" s="180"/>
      <c r="H183" s="180"/>
      <c r="I183" s="180"/>
      <c r="O183" s="288">
        <v>1</v>
      </c>
      <c r="AA183" s="55" t="str">
        <f t="shared" ca="1" si="31"/>
        <v>Lohnfortzahlung Nächte</v>
      </c>
    </row>
    <row r="184" spans="1:36" ht="13.8" thickBot="1" x14ac:dyDescent="0.3">
      <c r="A184" s="864" t="str">
        <f t="shared" ca="1" si="25"/>
        <v>Lohnfortzahlung Stunden</v>
      </c>
      <c r="B184" s="864"/>
      <c r="C184" s="864"/>
      <c r="D184" s="864"/>
      <c r="E184" s="865"/>
      <c r="F184" s="860">
        <f ca="1">SUMIF($A$264:$A$294,"&lt;="&amp;F181,$I$264:$I$294)-SUMIF($A$264:$A$294,"&lt;"&amp;F180,$I$264:$I$294)</f>
        <v>0</v>
      </c>
      <c r="G184" s="861"/>
      <c r="H184" s="861"/>
      <c r="I184" s="861"/>
      <c r="O184" s="288">
        <v>1</v>
      </c>
      <c r="AA184" s="55" t="str">
        <f t="shared" ca="1" si="31"/>
        <v>Lohnfortzahlung Stunden</v>
      </c>
    </row>
    <row r="185" spans="1:36" ht="13.8" thickBot="1" x14ac:dyDescent="0.3">
      <c r="A185" s="864" t="str">
        <f t="shared" ca="1" si="25"/>
        <v>Grund der Arbeitsunfähigkeit</v>
      </c>
      <c r="B185" s="864"/>
      <c r="C185" s="864"/>
      <c r="D185" s="864"/>
      <c r="E185" s="865"/>
      <c r="F185" s="183">
        <f>IF(O185&gt;0,G236,"")</f>
        <v>0</v>
      </c>
      <c r="G185" s="180"/>
      <c r="H185" s="180"/>
      <c r="I185" s="180"/>
      <c r="O185" s="288">
        <v>1</v>
      </c>
      <c r="AA185" s="55" t="str">
        <f t="shared" ca="1" si="31"/>
        <v>Grund der Arbeitsunfähigkeit</v>
      </c>
    </row>
    <row r="186" spans="1:36" ht="12.6" customHeight="1" thickBot="1" x14ac:dyDescent="0.3">
      <c r="A186" s="864" t="str">
        <f t="shared" ca="1" si="25"/>
        <v>Grund, falls andere</v>
      </c>
      <c r="B186" s="864"/>
      <c r="C186" s="864"/>
      <c r="D186" s="864"/>
      <c r="E186" s="865"/>
      <c r="F186" s="291"/>
      <c r="G186" s="290"/>
      <c r="H186" s="290"/>
      <c r="I186" s="290"/>
      <c r="O186" s="288">
        <v>1</v>
      </c>
      <c r="AA186" s="55" t="str">
        <f t="shared" ca="1" si="31"/>
        <v>Grund, falls andere</v>
      </c>
    </row>
    <row r="187" spans="1:36" customFormat="1" ht="12.6" customHeight="1" thickBot="1" x14ac:dyDescent="0.3">
      <c r="A187" s="864" t="str">
        <f t="shared" ca="1" si="25"/>
        <v>Rückerstattung anderer Versicherungen</v>
      </c>
      <c r="B187" s="864"/>
      <c r="C187" s="864"/>
      <c r="D187" s="864"/>
      <c r="E187" s="865"/>
      <c r="F187" s="182" t="str">
        <f ca="1">IF(O187&gt;0,IF(F188&gt;0,OFFSET(L_JaNein,0,0,1,1),OFFSET(L_JaNein,1,0,1,1)),"")</f>
        <v>Nein</v>
      </c>
      <c r="G187" s="180"/>
      <c r="H187" s="180"/>
      <c r="I187" s="180"/>
      <c r="O187" s="288">
        <v>1</v>
      </c>
      <c r="P187" s="55"/>
      <c r="AA187" s="55" t="str">
        <f t="shared" ca="1" si="31"/>
        <v>Rückerstattung anderer Versicherungen</v>
      </c>
    </row>
    <row r="188" spans="1:36" customFormat="1" ht="12.6" customHeight="1" thickBot="1" x14ac:dyDescent="0.3">
      <c r="A188" s="864" t="str">
        <f t="shared" ca="1" si="25"/>
        <v>Rückerstattung in CHF</v>
      </c>
      <c r="B188" s="864"/>
      <c r="C188" s="864"/>
      <c r="D188" s="864"/>
      <c r="E188" s="865"/>
      <c r="F188" s="182"/>
      <c r="G188" s="180"/>
      <c r="H188" s="180"/>
      <c r="I188" s="180"/>
      <c r="O188" s="288">
        <v>1</v>
      </c>
      <c r="P188" s="55"/>
      <c r="AA188" s="55" t="str">
        <f t="shared" ca="1" si="31"/>
        <v>Rückerstattung in CHF</v>
      </c>
    </row>
    <row r="189" spans="1:36" customFormat="1" ht="12.6" customHeight="1" thickBot="1" x14ac:dyDescent="0.3">
      <c r="A189" s="864" t="str">
        <f t="shared" ca="1" si="25"/>
        <v>Wartefrist</v>
      </c>
      <c r="B189" s="864"/>
      <c r="C189" s="864"/>
      <c r="D189" s="864"/>
      <c r="E189" s="865"/>
      <c r="F189" s="183" t="str">
        <f ca="1">IF(O189&gt;0,IF(VLOOKUP(F187,A_JaNein_Auswahl,2,0)=1,IF(ISERROR(P189),"",P189),""),"")</f>
        <v/>
      </c>
      <c r="G189" s="180"/>
      <c r="H189" s="180"/>
      <c r="I189" s="180"/>
      <c r="O189" s="288">
        <v>1</v>
      </c>
      <c r="P189" s="289" t="str">
        <f ca="1">IF(AND(S236=5,'  B  '!F$110=1),'  B  '!C$111,IF(AND(S236=6,S237=0),'  B  '!F$104,""))</f>
        <v/>
      </c>
      <c r="AA189" s="55" t="str">
        <f t="shared" ca="1" si="31"/>
        <v>Wartefrist</v>
      </c>
    </row>
    <row r="190" spans="1:36" customFormat="1" ht="2.1" customHeight="1" x14ac:dyDescent="0.25">
      <c r="AA190" s="55"/>
    </row>
    <row r="191" spans="1:36" customFormat="1" ht="2.1" customHeight="1" x14ac:dyDescent="0.25">
      <c r="AA191" s="55"/>
    </row>
    <row r="192" spans="1:36" customFormat="1" ht="2.1" customHeight="1" x14ac:dyDescent="0.25">
      <c r="AA192" s="55"/>
    </row>
    <row r="193" spans="1:43" customFormat="1" ht="2.1" customHeight="1" x14ac:dyDescent="0.25">
      <c r="AA193" s="55"/>
    </row>
    <row r="194" spans="1:43" customFormat="1" ht="2.1" customHeight="1" x14ac:dyDescent="0.25">
      <c r="AA194" s="55">
        <f ca="1">INDIRECT(ADDRESS(ROW()+N_Offset_M,COLUMN(A195)+(N_SpracheAuswahl)*26,,,"Text"))</f>
        <v>0</v>
      </c>
    </row>
    <row r="195" spans="1:43" customFormat="1" ht="2.1" customHeight="1" x14ac:dyDescent="0.25"/>
    <row r="196" spans="1:43" customFormat="1" ht="2.1" customHeight="1" x14ac:dyDescent="0.25"/>
    <row r="197" spans="1:43" customFormat="1" ht="2.1" customHeight="1" x14ac:dyDescent="0.25"/>
    <row r="198" spans="1:43" customFormat="1" ht="2.1" customHeight="1" x14ac:dyDescent="0.25"/>
    <row r="199" spans="1:43" s="497" customFormat="1" ht="15" customHeight="1" x14ac:dyDescent="0.25">
      <c r="A199" s="501" t="str">
        <f ca="1">AA199</f>
        <v>Eingaben zu Tagen mit reduzierter oder ohne Arbeitsleistung</v>
      </c>
      <c r="B199" s="510"/>
      <c r="C199" s="510"/>
      <c r="D199" s="510"/>
      <c r="E199" s="510"/>
      <c r="F199" s="510"/>
      <c r="G199" s="510"/>
      <c r="H199" s="510"/>
      <c r="I199" s="498" t="str">
        <f ca="1">AI199</f>
        <v>Seite 5</v>
      </c>
      <c r="O199" s="499">
        <f ca="1">1*NOT(AA199=0)</f>
        <v>1</v>
      </c>
      <c r="AA199" s="496" t="str">
        <f t="shared" ref="AA199:AA204" ca="1" si="32">INDIRECT(ADDRESS(ROW()+N_Offset_M,COLUMN(A199)+(N_SpracheAuswahl)*26,,,"Text"))</f>
        <v>Eingaben zu Tagen mit reduzierter oder ohne Arbeitsleistung</v>
      </c>
      <c r="AI199" s="497" t="str">
        <f ca="1">INDIRECT(ADDRESS(ROW()+N_Offset_M,COLUMN(I199)+(N_SpracheAuswahl)*26,,,"Text"))</f>
        <v>Seite 5</v>
      </c>
      <c r="AM199" s="499"/>
      <c r="AO199" s="499"/>
      <c r="AQ199" s="499"/>
    </row>
    <row r="200" spans="1:43" x14ac:dyDescent="0.25">
      <c r="A200" s="492" t="str">
        <f ca="1">AA200</f>
        <v>Die Eingabefelder in diesem Abschnitt befinden sich in Spalte I</v>
      </c>
      <c r="I200" s="221" t="str">
        <f>'  B  '!C34&amp;" "&amp;'  B  '!C35&amp;", "&amp;'  B  '!C40&amp;", "&amp;TEXT(P1,"MMMM")&amp;" "&amp;YEAR(P1)</f>
        <v xml:space="preserve"> , , Juli 2024</v>
      </c>
      <c r="L200" s="87"/>
      <c r="N200" s="87"/>
      <c r="O200" s="288">
        <f ca="1">1*NOT(AA200=0)</f>
        <v>1</v>
      </c>
      <c r="AA200" s="158" t="str">
        <f t="shared" ca="1" si="32"/>
        <v>Die Eingabefelder in diesem Abschnitt befinden sich in Spalte I</v>
      </c>
    </row>
    <row r="201" spans="1:43" x14ac:dyDescent="0.25">
      <c r="A201" s="75" t="str">
        <f ca="1">AA201</f>
        <v>1. Ferien der Assistenzperson</v>
      </c>
      <c r="B201" s="77"/>
      <c r="C201" s="77"/>
      <c r="D201" s="77"/>
      <c r="E201" s="77"/>
      <c r="F201" s="77"/>
      <c r="G201" s="77"/>
      <c r="H201" s="77"/>
      <c r="I201" s="77"/>
      <c r="O201" s="288">
        <f ca="1">1*NOT(AA201=0)</f>
        <v>1</v>
      </c>
      <c r="AA201" s="66" t="str">
        <f t="shared" ca="1" si="32"/>
        <v>1. Ferien der Assistenzperson</v>
      </c>
    </row>
    <row r="202" spans="1:43" ht="27" customHeight="1" x14ac:dyDescent="0.25">
      <c r="A202" s="862" t="str">
        <f t="shared" ref="A202:A211" ca="1" si="33">IF(O202=0,"",IF(O202=1,AA202,P202))</f>
        <v>Ferienguthaben Monatsbeginn</v>
      </c>
      <c r="B202" s="862"/>
      <c r="C202" s="862"/>
      <c r="D202" s="862"/>
      <c r="E202" s="92" t="str">
        <f t="shared" ref="E202:E211" ca="1" si="34">IF(O202&gt;0,AE202,"")</f>
        <v>Kalendertage</v>
      </c>
      <c r="F202" s="308"/>
      <c r="G202" s="308"/>
      <c r="H202" s="645"/>
      <c r="I202" s="147">
        <f ca="1">AT263</f>
        <v>28</v>
      </c>
      <c r="O202" s="288">
        <v>1</v>
      </c>
      <c r="AA202" s="55" t="str">
        <f t="shared" ca="1" si="32"/>
        <v>Ferienguthaben Monatsbeginn</v>
      </c>
      <c r="AE202" s="55" t="str">
        <f ca="1">INDIRECT(ADDRESS(ROW()+N_Offset_M,COLUMN(E202)+(N_SpracheAuswahl)*26,,,"Text"))</f>
        <v>Kalendertage</v>
      </c>
    </row>
    <row r="203" spans="1:43" x14ac:dyDescent="0.25">
      <c r="A203" s="906" t="str">
        <f t="shared" ca="1" si="33"/>
        <v>Ferienbeginn</v>
      </c>
      <c r="B203" s="906"/>
      <c r="C203" s="906"/>
      <c r="D203" s="906"/>
      <c r="E203" s="92" t="str">
        <f t="shared" ca="1" si="34"/>
        <v>Datum erster Ferientag</v>
      </c>
      <c r="F203" s="308"/>
      <c r="G203" s="308"/>
      <c r="H203" s="645"/>
      <c r="I203" s="185"/>
      <c r="O203" s="288">
        <f ca="1">1*NOT(AA203=0)</f>
        <v>1</v>
      </c>
      <c r="AA203" s="55" t="str">
        <f t="shared" ca="1" si="32"/>
        <v>Ferienbeginn</v>
      </c>
      <c r="AE203" s="55" t="str">
        <f ca="1">INDIRECT(ADDRESS(ROW()+N_Offset_M,COLUMN(E203)+(N_SpracheAuswahl)*26,,,"Text"))</f>
        <v>Datum erster Ferientag</v>
      </c>
    </row>
    <row r="204" spans="1:43" x14ac:dyDescent="0.25">
      <c r="A204" s="906" t="str">
        <f t="shared" ca="1" si="33"/>
        <v>Ferienende</v>
      </c>
      <c r="B204" s="906"/>
      <c r="C204" s="906"/>
      <c r="D204" s="906"/>
      <c r="E204" s="92" t="str">
        <f t="shared" ca="1" si="34"/>
        <v>Datum letzter Ferientag</v>
      </c>
      <c r="F204" s="308"/>
      <c r="G204" s="308"/>
      <c r="H204" s="645"/>
      <c r="I204" s="185"/>
      <c r="O204" s="288">
        <f ca="1">1*NOT(AA204=0)</f>
        <v>1</v>
      </c>
      <c r="AA204" s="55" t="str">
        <f t="shared" ca="1" si="32"/>
        <v>Ferienende</v>
      </c>
      <c r="AE204" s="55" t="str">
        <f ca="1">INDIRECT(ADDRESS(ROW()+N_Offset_M,COLUMN(E204)+(N_SpracheAuswahl)*26,,,"Text"))</f>
        <v>Datum letzter Ferientag</v>
      </c>
    </row>
    <row r="205" spans="1:43" x14ac:dyDescent="0.25">
      <c r="A205" s="906" t="str">
        <f t="shared" si="33"/>
        <v/>
      </c>
      <c r="B205" s="906"/>
      <c r="C205" s="906"/>
      <c r="D205" s="906"/>
      <c r="E205" s="92" t="str">
        <f t="shared" si="34"/>
        <v/>
      </c>
      <c r="F205" s="57"/>
      <c r="G205" s="57"/>
      <c r="H205" s="57"/>
      <c r="I205" s="559"/>
      <c r="O205" s="288">
        <f>1*NOT(AA205=0)</f>
        <v>0</v>
      </c>
    </row>
    <row r="206" spans="1:43" x14ac:dyDescent="0.25">
      <c r="A206" s="906" t="str">
        <f t="shared" ca="1" si="33"/>
        <v>weiter in Zeile  211</v>
      </c>
      <c r="B206" s="906"/>
      <c r="C206" s="906"/>
      <c r="D206" s="906"/>
      <c r="E206" s="92" t="str">
        <f t="shared" si="34"/>
        <v/>
      </c>
      <c r="F206" s="308"/>
      <c r="G206" s="308"/>
      <c r="H206" s="645"/>
      <c r="I206" s="185"/>
      <c r="O206" s="288">
        <f>IF(I206&gt;0,1,IF(AND(I$203&gt;0,I$204&gt;0),1*NOT(AA206=0),-1))</f>
        <v>-1</v>
      </c>
      <c r="P206" s="289" t="str">
        <f ca="1">B_WeiterInZeile&amp;" "&amp;ROW(A$211)</f>
        <v>weiter in Zeile  211</v>
      </c>
      <c r="AA206" s="55" t="str">
        <f ca="1">INDIRECT(ADDRESS(ROW()+N_Offset_M,COLUMN(A206)+(N_SpracheAuswahl)*26,,,"Text"))</f>
        <v>Ferienbeginn</v>
      </c>
      <c r="AE206" s="55" t="str">
        <f ca="1">INDIRECT(ADDRESS(ROW()+N_Offset_M,COLUMN(E206)+(N_SpracheAuswahl)*26,,,"Text"))</f>
        <v>Datum erster Ferientag</v>
      </c>
    </row>
    <row r="207" spans="1:43" x14ac:dyDescent="0.25">
      <c r="A207" s="906" t="str">
        <f t="shared" si="33"/>
        <v/>
      </c>
      <c r="B207" s="906"/>
      <c r="C207" s="906"/>
      <c r="D207" s="906"/>
      <c r="E207" s="92" t="str">
        <f t="shared" si="34"/>
        <v/>
      </c>
      <c r="F207" s="308"/>
      <c r="G207" s="308"/>
      <c r="H207" s="645"/>
      <c r="I207" s="185"/>
      <c r="O207" s="288">
        <f>IF(I207&gt;0,1,IF(AND(I$203&gt;0,I$204&gt;0),1*NOT(AA207=0),))</f>
        <v>0</v>
      </c>
      <c r="AA207" s="55" t="str">
        <f ca="1">INDIRECT(ADDRESS(ROW()+N_Offset_M,COLUMN(A207)+(N_SpracheAuswahl)*26,,,"Text"))</f>
        <v>Ferienende</v>
      </c>
      <c r="AE207" s="55" t="str">
        <f ca="1">INDIRECT(ADDRESS(ROW()+N_Offset_M,COLUMN(E207)+(N_SpracheAuswahl)*26,,,"Text"))</f>
        <v>Datum letzter Ferientag</v>
      </c>
    </row>
    <row r="208" spans="1:43" x14ac:dyDescent="0.25">
      <c r="A208" s="906" t="str">
        <f t="shared" si="33"/>
        <v/>
      </c>
      <c r="B208" s="906"/>
      <c r="C208" s="906"/>
      <c r="D208" s="906"/>
      <c r="E208" s="92" t="str">
        <f t="shared" si="34"/>
        <v/>
      </c>
      <c r="F208" s="57"/>
      <c r="G208" s="57"/>
      <c r="H208" s="57"/>
      <c r="I208" s="559"/>
      <c r="O208" s="288">
        <f>1*NOT(AA208=0)</f>
        <v>0</v>
      </c>
    </row>
    <row r="209" spans="1:36" x14ac:dyDescent="0.25">
      <c r="A209" s="906" t="str">
        <f t="shared" si="33"/>
        <v/>
      </c>
      <c r="B209" s="906"/>
      <c r="C209" s="906"/>
      <c r="D209" s="906"/>
      <c r="E209" s="92" t="str">
        <f t="shared" si="34"/>
        <v/>
      </c>
      <c r="F209" s="308"/>
      <c r="G209" s="308"/>
      <c r="H209" s="645"/>
      <c r="I209" s="185"/>
      <c r="O209" s="288">
        <f>IF(I209&gt;0,1,IF(O206&lt;0,0,IF(AND(I$206&gt;0,I$207&gt;0),1*NOT(AA209=0),-1)))</f>
        <v>0</v>
      </c>
      <c r="P209" s="289" t="str">
        <f ca="1">B_WeiterInZeile&amp;" "&amp;ROW(A$211)</f>
        <v>weiter in Zeile  211</v>
      </c>
      <c r="AA209" s="55" t="str">
        <f ca="1">INDIRECT(ADDRESS(ROW()+N_Offset_M,COLUMN(A209)+(N_SpracheAuswahl)*26,,,"Text"))</f>
        <v>Ferienbeginn</v>
      </c>
      <c r="AE209" s="55" t="str">
        <f ca="1">INDIRECT(ADDRESS(ROW()+N_Offset_M,COLUMN(E209)+(N_SpracheAuswahl)*26,,,"Text"))</f>
        <v>Datum erster Ferientag</v>
      </c>
    </row>
    <row r="210" spans="1:36" x14ac:dyDescent="0.25">
      <c r="A210" s="906" t="str">
        <f t="shared" si="33"/>
        <v/>
      </c>
      <c r="B210" s="906"/>
      <c r="C210" s="906"/>
      <c r="D210" s="906"/>
      <c r="E210" s="92" t="str">
        <f t="shared" si="34"/>
        <v/>
      </c>
      <c r="F210" s="308"/>
      <c r="G210" s="308"/>
      <c r="H210" s="645"/>
      <c r="I210" s="185"/>
      <c r="O210" s="288">
        <f>IF(I210&gt;0,1,IF(AND(I$206&gt;0,I$207&gt;0),1*NOT(AA210=0),))</f>
        <v>0</v>
      </c>
      <c r="AA210" s="55" t="str">
        <f ca="1">INDIRECT(ADDRESS(ROW()+N_Offset_M,COLUMN(A210)+(N_SpracheAuswahl)*26,,,"Text"))</f>
        <v>Ferienende</v>
      </c>
      <c r="AE210" s="55" t="str">
        <f ca="1">INDIRECT(ADDRESS(ROW()+N_Offset_M,COLUMN(E210)+(N_SpracheAuswahl)*26,,,"Text"))</f>
        <v>Datum letzter Ferientag</v>
      </c>
    </row>
    <row r="211" spans="1:36" x14ac:dyDescent="0.25">
      <c r="A211" s="906" t="str">
        <f t="shared" ca="1" si="33"/>
        <v>Ferienguthaben Monatsende</v>
      </c>
      <c r="B211" s="906"/>
      <c r="C211" s="906"/>
      <c r="D211" s="906"/>
      <c r="E211" s="92" t="str">
        <f t="shared" ca="1" si="34"/>
        <v>Kalendertage</v>
      </c>
      <c r="F211" s="308"/>
      <c r="G211" s="308"/>
      <c r="H211" s="645"/>
      <c r="I211" s="147">
        <f ca="1">AT295</f>
        <v>28</v>
      </c>
      <c r="O211" s="288">
        <f ca="1">1*NOT(AA211=0)</f>
        <v>1</v>
      </c>
      <c r="AA211" s="55" t="str">
        <f ca="1">INDIRECT(ADDRESS(ROW()+N_Offset_M,COLUMN(A211)+(N_SpracheAuswahl)*26,,,"Text"))</f>
        <v>Ferienguthaben Monatsende</v>
      </c>
      <c r="AE211" s="55" t="str">
        <f ca="1">INDIRECT(ADDRESS(ROW()+N_Offset_M,COLUMN(E211)+(N_SpracheAuswahl)*26,,,"Text"))</f>
        <v>Kalendertage</v>
      </c>
    </row>
    <row r="212" spans="1:36" ht="31.95" customHeight="1" x14ac:dyDescent="0.25">
      <c r="A212" s="967" t="str">
        <f ca="1">IF(O212=0,"",IF(O212=1,AA212,P212))</f>
        <v>Art 324a: Arbeitsvertrag, OR, Berner Skala und Taggeldversicherungen sind bei den Eingaben der Nächte mit zu berücksichtigen.</v>
      </c>
      <c r="B212" s="967"/>
      <c r="C212" s="967"/>
      <c r="D212" s="967"/>
      <c r="E212" s="967"/>
      <c r="F212" s="967"/>
      <c r="G212" s="967"/>
      <c r="H212" s="967"/>
      <c r="I212" s="967"/>
      <c r="J212" s="967"/>
      <c r="O212" s="288">
        <v>1</v>
      </c>
      <c r="P212" s="56"/>
      <c r="AA212" s="55" t="str">
        <f ca="1">INDIRECT(ADDRESS(ROW()+N_Offset_M,COLUMN(A212)+(N_SpracheAuswahl)*26,,,"Text"))</f>
        <v>Art 324a: Arbeitsvertrag, OR, Berner Skala und Taggeldversicherungen sind bei den Eingaben der Nächte mit zu berücksichtigen.</v>
      </c>
    </row>
    <row r="213" spans="1:36" x14ac:dyDescent="0.25">
      <c r="A213" s="75" t="str">
        <f ca="1">AA213</f>
        <v>2. Arbeitsunfähigkeit der Assistenzperson (Art. 324a OR)</v>
      </c>
      <c r="B213" s="77"/>
      <c r="C213" s="77"/>
      <c r="D213" s="77"/>
      <c r="E213" s="77"/>
      <c r="F213" s="77"/>
      <c r="G213" s="77"/>
      <c r="H213" s="77"/>
      <c r="I213" s="77"/>
      <c r="O213" s="288">
        <f ca="1">1*NOT(AA213=0)</f>
        <v>1</v>
      </c>
      <c r="P213" s="56" t="s">
        <v>81</v>
      </c>
      <c r="Q213" s="56" t="b">
        <f ca="1">'  B  '!F110=1</f>
        <v>0</v>
      </c>
      <c r="R213" s="56" t="s">
        <v>82</v>
      </c>
      <c r="S213" s="56" t="b">
        <f>NOT(OR(ISBLANK('  B  '!C$113),ISBLANK('  B  '!C$114),ISBLANK('  B  '!C$115),ISBLANK('  B  '!C111)))</f>
        <v>1</v>
      </c>
      <c r="AA213" s="55" t="str">
        <f t="shared" ref="AA213:AA222" ca="1" si="35">INDIRECT(ADDRESS(ROW()+N_Offset_M,COLUMN(A213)+(N_SpracheAuswahl)*26,,,"Text"))</f>
        <v>2. Arbeitsunfähigkeit der Assistenzperson (Art. 324a OR)</v>
      </c>
    </row>
    <row r="214" spans="1:36" x14ac:dyDescent="0.25">
      <c r="A214" s="906" t="str">
        <f ca="1">IF(O214=0,"",IF(O214=1,AA214,P214))</f>
        <v>Abwesenheit Beginn</v>
      </c>
      <c r="B214" s="906"/>
      <c r="C214" s="906"/>
      <c r="D214" s="906"/>
      <c r="E214" s="92" t="str">
        <f ca="1">IF(O214&gt;0,AE214,"")</f>
        <v>Datum erster Tag</v>
      </c>
      <c r="F214" s="308"/>
      <c r="G214" s="57"/>
      <c r="H214" s="57"/>
      <c r="I214" s="185"/>
      <c r="O214" s="288">
        <f ca="1">1*NOT(AA214=0)</f>
        <v>1</v>
      </c>
      <c r="P214" s="56"/>
      <c r="AA214" s="55" t="str">
        <f t="shared" ca="1" si="35"/>
        <v>Abwesenheit Beginn</v>
      </c>
      <c r="AE214" s="55" t="str">
        <f t="shared" ref="AE214:AE222" ca="1" si="36">INDIRECT(ADDRESS(ROW()+N_Offset_M,COLUMN(E214)+(N_SpracheAuswahl)*26,,,"Text"))</f>
        <v>Datum erster Tag</v>
      </c>
    </row>
    <row r="215" spans="1:36" x14ac:dyDescent="0.25">
      <c r="A215" s="906" t="str">
        <f t="shared" ref="A215:A221" ca="1" si="37">IF(O215=0,"",IF(O215=1,AA215,P215))</f>
        <v>Abwesenheit Ende</v>
      </c>
      <c r="B215" s="906"/>
      <c r="C215" s="906"/>
      <c r="D215" s="906"/>
      <c r="E215" s="92" t="str">
        <f t="shared" ref="E215:E222" ca="1" si="38">IF(O215&gt;0,AE215,"")</f>
        <v>Datum letzter Tag (in diesem Monat)</v>
      </c>
      <c r="F215" s="308"/>
      <c r="G215" s="57"/>
      <c r="H215" s="57"/>
      <c r="I215" s="185"/>
      <c r="O215" s="288">
        <f ca="1">1*NOT(AA215=0)</f>
        <v>1</v>
      </c>
      <c r="P215" s="56"/>
      <c r="AA215" s="55" t="str">
        <f t="shared" ca="1" si="35"/>
        <v>Abwesenheit Ende</v>
      </c>
      <c r="AE215" s="55" t="str">
        <f t="shared" ca="1" si="36"/>
        <v>Datum letzter Tag (in diesem Monat)</v>
      </c>
    </row>
    <row r="216" spans="1:36" ht="27" customHeight="1" x14ac:dyDescent="0.25">
      <c r="A216" s="908" t="str">
        <f t="shared" ca="1" si="37"/>
        <v>weiter in Zeile  244</v>
      </c>
      <c r="B216" s="908"/>
      <c r="C216" s="908"/>
      <c r="D216" s="908"/>
      <c r="E216" s="652" t="str">
        <f>IF(O216&gt;0,AE216,"")</f>
        <v/>
      </c>
      <c r="F216" s="676"/>
      <c r="G216" s="903"/>
      <c r="H216" s="904"/>
      <c r="I216" s="905"/>
      <c r="L216" s="87"/>
      <c r="O216" s="288">
        <f>IF(I214&gt;0,1*NOT(AA216=0),-1)</f>
        <v>-1</v>
      </c>
      <c r="P216" s="289" t="str">
        <f ca="1">B_WeiterInZeile&amp;" "&amp;ROW(A$244)</f>
        <v>weiter in Zeile  244</v>
      </c>
      <c r="S216" s="56">
        <f ca="1">IF(ISERROR(VLOOKUP(G216,A_Arbeitsunfähigkeit324a_Auswahl,2,0)),0,VLOOKUP(G216,A_Arbeitsunfähigkeit324a_Auswahl,2,0)+4)</f>
        <v>0</v>
      </c>
      <c r="AA216" s="55" t="str">
        <f t="shared" ca="1" si="35"/>
        <v>Grund für Abwesenheit</v>
      </c>
      <c r="AE216" s="55" t="str">
        <f t="shared" ca="1" si="36"/>
        <v>Auswahl in Spalte G-I</v>
      </c>
    </row>
    <row r="217" spans="1:36" ht="25.2" customHeight="1" x14ac:dyDescent="0.25">
      <c r="A217" s="920" t="str">
        <f ca="1">IF(O217=0,"",IF(O217=1,AA217,IF(O217=2,AI217&amp;" "&amp;AJ217,P217)))</f>
        <v/>
      </c>
      <c r="B217" s="920"/>
      <c r="C217" s="920"/>
      <c r="D217" s="920"/>
      <c r="E217" s="650" t="str">
        <f t="shared" ca="1" si="38"/>
        <v/>
      </c>
      <c r="F217" s="651"/>
      <c r="G217" s="921" t="str">
        <f ca="1">IF(O217=1,Text!I$68,"")</f>
        <v/>
      </c>
      <c r="H217" s="922"/>
      <c r="I217" s="923"/>
      <c r="L217" s="87"/>
      <c r="O217" s="288">
        <f ca="1">IF(AND(I214&gt;0,S216=6),1*NOT(AA217=0),IF(AND(I214&gt;0,S216=9),2*NOT(AA217=0),0))</f>
        <v>0</v>
      </c>
      <c r="P217" s="56"/>
      <c r="S217" s="56">
        <f ca="1">IF(ISERROR(VLOOKUP(G217,A_ArtUnfall_Auswahl,2,0)),0,VLOOKUP(G217,A_ArtUnfall_Auswahl,2,0)-1)*(N_Pensum&lt;8/N_WochenAZ_100Prozent)</f>
        <v>0</v>
      </c>
      <c r="AA217" s="55" t="str">
        <f t="shared" ca="1" si="35"/>
        <v>Art des Unfalls</v>
      </c>
      <c r="AE217" s="55" t="str">
        <f t="shared" ca="1" si="36"/>
        <v>Auswahl in Spalte G-I</v>
      </c>
      <c r="AI217" s="55" t="str">
        <f t="shared" ref="AI217" ca="1" si="39">INDIRECT(ADDRESS(ROW()+N_Offset_M,COLUMN(I217)+(N_SpracheAuswahl)*26,,,"Text"))</f>
        <v>Siehe Hinweis in Zeile</v>
      </c>
      <c r="AJ217" s="55">
        <f>ROW(A$331)</f>
        <v>331</v>
      </c>
    </row>
    <row r="218" spans="1:36" ht="27" customHeight="1" x14ac:dyDescent="0.25">
      <c r="A218" s="882" t="str">
        <f t="shared" ca="1" si="37"/>
        <v/>
      </c>
      <c r="B218" s="882"/>
      <c r="C218" s="882"/>
      <c r="D218" s="882"/>
      <c r="E218" s="650" t="str">
        <f t="shared" ca="1" si="38"/>
        <v/>
      </c>
      <c r="F218" s="677"/>
      <c r="G218" s="910"/>
      <c r="H218" s="911"/>
      <c r="I218" s="912"/>
      <c r="O218" s="288">
        <f ca="1">IF(AND(I214&gt;0,OR(S216=5,S216=6)),1*NOT(AA218=0),0)</f>
        <v>0</v>
      </c>
      <c r="P218" s="56"/>
      <c r="AA218" s="55" t="str">
        <f t="shared" ca="1" si="35"/>
        <v>Ausgelöst durch früheres Ereignis?</v>
      </c>
      <c r="AE218" s="55" t="str">
        <f t="shared" ca="1" si="36"/>
        <v>Auswahl in Spalte G-I</v>
      </c>
    </row>
    <row r="219" spans="1:36" x14ac:dyDescent="0.25">
      <c r="A219" s="906" t="str">
        <f t="shared" si="37"/>
        <v/>
      </c>
      <c r="B219" s="906"/>
      <c r="C219" s="906"/>
      <c r="D219" s="906"/>
      <c r="E219" s="92" t="str">
        <f t="shared" si="38"/>
        <v/>
      </c>
      <c r="F219" s="308"/>
      <c r="G219" s="57"/>
      <c r="H219" s="57"/>
      <c r="I219" s="187"/>
      <c r="O219" s="288">
        <f>IF(I214&gt;0,1*NOT(AA219=0),0)</f>
        <v>0</v>
      </c>
      <c r="P219" s="56"/>
      <c r="AA219" s="55" t="str">
        <f t="shared" ca="1" si="35"/>
        <v>Arbeitsunfähigkeit, Ausmass</v>
      </c>
      <c r="AE219" s="55" t="str">
        <f t="shared" ca="1" si="36"/>
        <v>% gemäss Arztzeugnis</v>
      </c>
    </row>
    <row r="220" spans="1:36" ht="27" customHeight="1" x14ac:dyDescent="0.25">
      <c r="A220" s="862" t="str">
        <f t="shared" si="37"/>
        <v/>
      </c>
      <c r="B220" s="862"/>
      <c r="C220" s="862"/>
      <c r="D220" s="862"/>
      <c r="E220" s="73" t="str">
        <f>IF(O220&gt;0,AE220,"")</f>
        <v/>
      </c>
      <c r="F220" s="678"/>
      <c r="G220" s="913" t="str">
        <f>IF(O220&gt;0,AG220&amp;" "&amp;TEXT('  B  '!C111,"0")&amp;" "&amp;B_Tage&amp;")","")</f>
        <v/>
      </c>
      <c r="H220" s="886"/>
      <c r="I220" s="267"/>
      <c r="L220" s="69"/>
      <c r="O220" s="288">
        <f>IF(NOT(I214&gt;0),0,IF(Q$213*OR(S216=5,(S216=6)*(S217=1))*NOT(AA220=0)=0,0,1+NOT(S$213)))</f>
        <v>0</v>
      </c>
      <c r="P220" s="56" t="str">
        <f ca="1">B_KTG_unvollständig</f>
        <v>Daten KTG in Blatt B noch unvollständig</v>
      </c>
      <c r="Q220" s="56"/>
      <c r="R220" s="56"/>
      <c r="S220" s="56">
        <f ca="1">IF(OR(ISBLANK(I220),I220=0,NOT(OR(S216=5,(S216=6)*(S217=1)))),100000,I220)</f>
        <v>100000</v>
      </c>
      <c r="AA220" s="55" t="str">
        <f t="shared" ca="1" si="35"/>
        <v>Rückerstattung KTG durch Versicherung ab</v>
      </c>
      <c r="AE220" s="55" t="str">
        <f t="shared" ca="1" si="36"/>
        <v>Datum erster Tag</v>
      </c>
      <c r="AG220" s="55" t="str">
        <f ca="1">INDIRECT(ADDRESS(ROW()+N_Offset_M,COLUMN(G220)+(N_SpracheAuswahl)*26,,,"Text"))</f>
        <v>(Wartefrist</v>
      </c>
    </row>
    <row r="221" spans="1:36" ht="27" customHeight="1" x14ac:dyDescent="0.25">
      <c r="A221" s="862" t="str">
        <f t="shared" si="37"/>
        <v/>
      </c>
      <c r="B221" s="862"/>
      <c r="C221" s="862"/>
      <c r="D221" s="862"/>
      <c r="E221" s="916" t="str">
        <f t="shared" si="38"/>
        <v/>
      </c>
      <c r="F221" s="916"/>
      <c r="G221" s="92" t="str">
        <f>IF(O221&gt;0,AG221&amp;" "&amp;TEXT('  B  '!C115,"0")&amp;" "&amp;B_Tage&amp;")","")</f>
        <v/>
      </c>
      <c r="H221" s="178"/>
      <c r="I221" s="267"/>
      <c r="O221" s="288">
        <f>IF(NOT(I214&gt;0),0,IF(Q$213*OR(S216=5,(S216=6)*(S217=1))*NOT(AA221=0)=0,0,1+NOT(S$213)))</f>
        <v>0</v>
      </c>
      <c r="P221" s="56"/>
      <c r="S221" s="56">
        <f ca="1">IF(OR(ISBLANK(I221),I221=0,NOT(S216=5)),100000,I221)</f>
        <v>100000</v>
      </c>
      <c r="AA221" s="55" t="str">
        <f t="shared" ca="1" si="35"/>
        <v>KTG-Versicherung läuft aus am (=Ende Lohnfortzahlung)</v>
      </c>
      <c r="AE221" s="55" t="str">
        <f t="shared" ca="1" si="36"/>
        <v>Datum letzter Tag (offen lassen wenn nicht in diesem Monat)</v>
      </c>
      <c r="AG221" s="55" t="str">
        <f ca="1">INDIRECT(ADDRESS(ROW()+N_Offset_M,COLUMN(G221)+(N_SpracheAuswahl)*26,,,"Text"))</f>
        <v>(Dauer</v>
      </c>
    </row>
    <row r="222" spans="1:36" x14ac:dyDescent="0.25">
      <c r="A222" s="862" t="str">
        <f t="shared" ref="A222" si="40">IF(O222=0,"",IF(O222=1,AA222,P222))</f>
        <v/>
      </c>
      <c r="B222" s="862"/>
      <c r="C222" s="862"/>
      <c r="D222" s="862"/>
      <c r="E222" s="73" t="str">
        <f t="shared" si="38"/>
        <v/>
      </c>
      <c r="F222" s="823"/>
      <c r="G222" s="148"/>
      <c r="H222" s="148"/>
      <c r="I222" s="824"/>
      <c r="O222" s="288">
        <f>IF(I214&gt;0,1*NOT(AA222=0),0)</f>
        <v>0</v>
      </c>
      <c r="P222" s="56"/>
      <c r="AA222" s="55" t="str">
        <f t="shared" ca="1" si="35"/>
        <v>Nächte</v>
      </c>
      <c r="AE222" s="55" t="str">
        <f t="shared" ca="1" si="36"/>
        <v>Anzahl</v>
      </c>
    </row>
    <row r="223" spans="1:36" x14ac:dyDescent="0.25">
      <c r="A223" s="833"/>
      <c r="B223" s="148"/>
      <c r="C223" s="148"/>
      <c r="D223" s="148"/>
      <c r="E223" s="831"/>
      <c r="F223" s="651"/>
      <c r="G223" s="148"/>
      <c r="H223" s="148"/>
      <c r="I223" s="832"/>
      <c r="O223" s="288"/>
      <c r="P223" s="56"/>
    </row>
    <row r="224" spans="1:36" ht="13.2" customHeight="1" x14ac:dyDescent="0.25">
      <c r="A224" s="915" t="str">
        <f ca="1">IF(O224=0,"",IF(O224=1,AA224,P224))</f>
        <v>weiter in Zeile  244</v>
      </c>
      <c r="B224" s="915"/>
      <c r="C224" s="915"/>
      <c r="D224" s="915"/>
      <c r="E224" s="827" t="str">
        <f>IF(O224&gt;0,AE224,"")</f>
        <v/>
      </c>
      <c r="F224" s="828"/>
      <c r="G224" s="829"/>
      <c r="H224" s="829"/>
      <c r="I224" s="830"/>
      <c r="J224" s="1"/>
      <c r="O224" s="288">
        <f>IF(AND(I$214&gt;0,I$215&gt;0),1*NOT(AA224=0),-1)</f>
        <v>-1</v>
      </c>
      <c r="P224" s="289" t="str">
        <f ca="1">B_WeiterInZeile&amp;" "&amp;ROW(A$244)</f>
        <v>weiter in Zeile  244</v>
      </c>
      <c r="AA224" s="55" t="str">
        <f t="shared" ref="AA224:AA231" ca="1" si="41">INDIRECT(ADDRESS(ROW()+N_Offset_M,COLUMN(A224)+(N_SpracheAuswahl)*26,,,"Text"))</f>
        <v>Abwesenheit Beginn</v>
      </c>
      <c r="AE224" s="55" t="str">
        <f t="shared" ref="AE224:AE231" ca="1" si="42">INDIRECT(ADDRESS(ROW()+N_Offset_M,COLUMN(E224)+(N_SpracheAuswahl)*26,,,"Text"))</f>
        <v>Datum erster Tag</v>
      </c>
    </row>
    <row r="225" spans="1:36" x14ac:dyDescent="0.25">
      <c r="A225" s="906" t="str">
        <f t="shared" ref="A225:A231" si="43">IF(O225=0,"",IF(O225=1,AA225,P225))</f>
        <v/>
      </c>
      <c r="B225" s="906"/>
      <c r="C225" s="906"/>
      <c r="D225" s="906"/>
      <c r="E225" s="92" t="str">
        <f t="shared" ref="E225:E231" si="44">IF(O225&gt;0,AE225,"")</f>
        <v/>
      </c>
      <c r="F225" s="308"/>
      <c r="G225" s="57"/>
      <c r="H225" s="57"/>
      <c r="I225" s="185"/>
      <c r="O225" s="288">
        <f>IF(AND(I$214&gt;0,I$215&gt;0),1*NOT(AA225=0),0)</f>
        <v>0</v>
      </c>
      <c r="P225" s="56"/>
      <c r="AA225" s="55" t="str">
        <f t="shared" ca="1" si="41"/>
        <v>Abwesenheit Ende</v>
      </c>
      <c r="AE225" s="55" t="str">
        <f t="shared" ca="1" si="42"/>
        <v>Datum letzter Tag (in diesem Monat)</v>
      </c>
    </row>
    <row r="226" spans="1:36" ht="27" customHeight="1" x14ac:dyDescent="0.25">
      <c r="A226" s="906" t="str">
        <f ca="1">IF(O226=0,"",IF(O226=1,AA226,P226))</f>
        <v>weiter in Zeile  244</v>
      </c>
      <c r="B226" s="906"/>
      <c r="C226" s="906"/>
      <c r="D226" s="906"/>
      <c r="E226" s="652" t="str">
        <f>IF(O226&gt;0,AE226,"")</f>
        <v/>
      </c>
      <c r="F226" s="676"/>
      <c r="G226" s="903"/>
      <c r="H226" s="904"/>
      <c r="I226" s="905"/>
      <c r="O226" s="288">
        <f>IF(AND(I$214&gt;0,I$215&gt;0),1*NOT(AA226=0),-1)</f>
        <v>-1</v>
      </c>
      <c r="P226" s="289" t="str">
        <f ca="1">B_WeiterInZeile&amp;" "&amp;ROW(A$244)</f>
        <v>weiter in Zeile  244</v>
      </c>
      <c r="S226" s="56">
        <f ca="1">IF(ISERROR(VLOOKUP(G226,A_Arbeitsunfähigkeit324a_Auswahl,2,0)),0,VLOOKUP(G226,A_Arbeitsunfähigkeit324a_Auswahl,2,0)+4)</f>
        <v>0</v>
      </c>
      <c r="AA226" s="55" t="str">
        <f t="shared" ca="1" si="41"/>
        <v>Grund für Abwesenheit</v>
      </c>
      <c r="AE226" s="55" t="str">
        <f t="shared" ca="1" si="42"/>
        <v>Auswahl in Spalte G-I</v>
      </c>
    </row>
    <row r="227" spans="1:36" ht="25.2" customHeight="1" x14ac:dyDescent="0.25">
      <c r="A227" s="914" t="str">
        <f ca="1">IF(O227=0,"",IF(O227=1,AA227,IF(O227=2,AI227&amp;" "&amp;AJ227,P227)))</f>
        <v/>
      </c>
      <c r="B227" s="914"/>
      <c r="C227" s="914"/>
      <c r="D227" s="914"/>
      <c r="E227" s="650" t="str">
        <f t="shared" ca="1" si="44"/>
        <v/>
      </c>
      <c r="F227" s="651"/>
      <c r="G227" s="921"/>
      <c r="H227" s="922"/>
      <c r="I227" s="923"/>
      <c r="J227" s="55" t="str">
        <f>IF(X227=0,"",IF(X227=1,AJ227,Y227))</f>
        <v/>
      </c>
      <c r="L227" s="87"/>
      <c r="O227" s="288">
        <f ca="1">IF(AND(I224&gt;0,S226=6),1*NOT(AA227=0),IF(AND(I224&gt;0,S226=9),2*NOT(AA227=0),0))</f>
        <v>0</v>
      </c>
      <c r="P227" s="56"/>
      <c r="S227" s="56">
        <f ca="1">IF(ISERROR(VLOOKUP(G227,A_ArtUnfall_Auswahl,2,0)),0,VLOOKUP(G227,A_ArtUnfall_Auswahl,2,0)-1)*(N_Pensum&lt;8/N_WochenAZ_100Prozent)</f>
        <v>2</v>
      </c>
      <c r="AA227" s="55" t="str">
        <f t="shared" ca="1" si="41"/>
        <v>Art des Unfalls</v>
      </c>
      <c r="AE227" s="55" t="str">
        <f t="shared" ca="1" si="42"/>
        <v>Auswahl in Spalte G-I</v>
      </c>
      <c r="AI227" s="55" t="str">
        <f t="shared" ref="AI227" ca="1" si="45">INDIRECT(ADDRESS(ROW()+N_Offset_M,COLUMN(I227)+(N_SpracheAuswahl)*26,,,"Text"))</f>
        <v>Siehe Hinweis in Zeile</v>
      </c>
      <c r="AJ227" s="55">
        <f>ROW(A$331)</f>
        <v>331</v>
      </c>
    </row>
    <row r="228" spans="1:36" ht="27" customHeight="1" x14ac:dyDescent="0.25">
      <c r="A228" s="882" t="str">
        <f t="shared" ca="1" si="43"/>
        <v/>
      </c>
      <c r="B228" s="882"/>
      <c r="C228" s="882"/>
      <c r="D228" s="882"/>
      <c r="E228" s="650" t="str">
        <f t="shared" ca="1" si="44"/>
        <v/>
      </c>
      <c r="F228" s="677"/>
      <c r="G228" s="910"/>
      <c r="H228" s="911"/>
      <c r="I228" s="912"/>
      <c r="O228" s="288">
        <f ca="1">IF(AND(I224&gt;0,OR(S226=5,S226=6)),1*NOT(AA228=0),0)</f>
        <v>0</v>
      </c>
      <c r="P228" s="56"/>
      <c r="AA228" s="55" t="str">
        <f t="shared" ca="1" si="41"/>
        <v>Ausgelöst durch früheres Ereignis?</v>
      </c>
      <c r="AE228" s="55" t="str">
        <f t="shared" ca="1" si="42"/>
        <v>Auswahl in Spalte G-I</v>
      </c>
    </row>
    <row r="229" spans="1:36" x14ac:dyDescent="0.25">
      <c r="A229" s="906" t="str">
        <f t="shared" si="43"/>
        <v/>
      </c>
      <c r="B229" s="906"/>
      <c r="C229" s="906"/>
      <c r="D229" s="906"/>
      <c r="E229" s="92" t="str">
        <f t="shared" si="44"/>
        <v/>
      </c>
      <c r="F229" s="308"/>
      <c r="G229" s="57"/>
      <c r="H229" s="57"/>
      <c r="I229" s="187"/>
      <c r="O229" s="288">
        <f>IF(I224&gt;0,1*NOT(AA229=0),0)</f>
        <v>0</v>
      </c>
      <c r="P229" s="56"/>
      <c r="AA229" s="55" t="str">
        <f t="shared" ca="1" si="41"/>
        <v>Arbeitsunfähigkeit, Ausmass</v>
      </c>
      <c r="AE229" s="55" t="str">
        <f t="shared" ca="1" si="42"/>
        <v>% gemäss Arztzeugnis</v>
      </c>
    </row>
    <row r="230" spans="1:36" ht="27" customHeight="1" x14ac:dyDescent="0.25">
      <c r="A230" s="862" t="str">
        <f t="shared" si="43"/>
        <v/>
      </c>
      <c r="B230" s="862"/>
      <c r="C230" s="862"/>
      <c r="D230" s="862"/>
      <c r="E230" s="73" t="str">
        <f>IF(O230&gt;0,AE230,"")</f>
        <v/>
      </c>
      <c r="F230" s="678"/>
      <c r="G230" s="913" t="str">
        <f>IF(O230&gt;0,AG230&amp;" "&amp;TEXT('  B  '!C111,"0")&amp;" "&amp;B_Tage&amp;")","")</f>
        <v/>
      </c>
      <c r="H230" s="886"/>
      <c r="I230" s="267"/>
      <c r="L230" s="69"/>
      <c r="O230" s="288">
        <f>IF(NOT(I224&gt;0),0,IF(Q$213*OR(S226=5,(S226=6)*(S227=1))*NOT(AA230=0)=0,0,1+NOT(S$213)))</f>
        <v>0</v>
      </c>
      <c r="P230" s="56" t="str">
        <f ca="1">B_KTG_unvollständig</f>
        <v>Daten KTG in Blatt B noch unvollständig</v>
      </c>
      <c r="Q230" s="56"/>
      <c r="R230" s="56"/>
      <c r="S230" s="56">
        <f ca="1">IF(OR(ISBLANK(I230),I230=0,NOT(S226=5)),100000,I230)</f>
        <v>100000</v>
      </c>
      <c r="AA230" s="55" t="str">
        <f t="shared" ca="1" si="41"/>
        <v>Rückerstattung KTG durch Versicherung ab</v>
      </c>
      <c r="AE230" s="55" t="str">
        <f t="shared" ca="1" si="42"/>
        <v>Datum erster Tag</v>
      </c>
      <c r="AG230" s="55" t="str">
        <f ca="1">INDIRECT(ADDRESS(ROW()+N_Offset_M,COLUMN(G230)+(N_SpracheAuswahl)*26,,,"Text"))</f>
        <v>(Wartefrist</v>
      </c>
    </row>
    <row r="231" spans="1:36" ht="27" customHeight="1" x14ac:dyDescent="0.25">
      <c r="A231" s="862" t="str">
        <f t="shared" si="43"/>
        <v/>
      </c>
      <c r="B231" s="862"/>
      <c r="C231" s="862"/>
      <c r="D231" s="862"/>
      <c r="E231" s="916" t="str">
        <f t="shared" si="44"/>
        <v/>
      </c>
      <c r="F231" s="916"/>
      <c r="G231" s="92" t="str">
        <f>IF(O231&gt;0,AG231&amp;" "&amp;TEXT('  B  '!C115,"0")&amp;" "&amp;B_Tage&amp;")","")</f>
        <v/>
      </c>
      <c r="H231" s="178"/>
      <c r="I231" s="267"/>
      <c r="O231" s="288">
        <f>IF(NOT(I224&gt;0),0,IF(Q$213*OR(S226=5,(S226=6)*(S227=1))*NOT(AA231=0)=0,0,1+NOT(S$213)))</f>
        <v>0</v>
      </c>
      <c r="P231" s="56"/>
      <c r="S231" s="56">
        <f ca="1">IF(OR(ISBLANK(I231),I231=0,NOT(S226=5)),100000,I231)</f>
        <v>100000</v>
      </c>
      <c r="AA231" s="55" t="str">
        <f t="shared" ca="1" si="41"/>
        <v>KTG-Versicherung läuft aus am (=Ende Lohnfortzahlung)</v>
      </c>
      <c r="AE231" s="55" t="str">
        <f t="shared" ca="1" si="42"/>
        <v>Datum letzter Tag (offen lassen wenn nicht in diesem Monat)</v>
      </c>
      <c r="AG231" s="55" t="str">
        <f ca="1">INDIRECT(ADDRESS(ROW()+N_Offset_M,COLUMN(G231)+(N_SpracheAuswahl)*26,,,"Text"))</f>
        <v>(Dauer</v>
      </c>
    </row>
    <row r="232" spans="1:36" ht="13.2" customHeight="1" x14ac:dyDescent="0.25">
      <c r="A232" s="862" t="str">
        <f t="shared" ref="A232" si="46">IF(O232=0,"",IF(O232=1,AA232,P232))</f>
        <v/>
      </c>
      <c r="B232" s="862"/>
      <c r="C232" s="862"/>
      <c r="D232" s="862"/>
      <c r="E232" s="92" t="str">
        <f>IF(O232&gt;0,AE232,"")</f>
        <v/>
      </c>
      <c r="F232" s="308"/>
      <c r="G232" s="92"/>
      <c r="H232" s="178"/>
      <c r="I232" s="835"/>
      <c r="O232" s="288">
        <f>IF(I224&gt;0,1*NOT(AA232=0),0)</f>
        <v>0</v>
      </c>
      <c r="P232" s="56"/>
      <c r="S232" s="56"/>
      <c r="AA232" s="55" t="str">
        <f ca="1">INDIRECT(ADDRESS(ROW()+N_Offset_M,COLUMN(A232)+(N_SpracheAuswahl)*26,,,"Text"))</f>
        <v>Nächte</v>
      </c>
      <c r="AE232" s="55" t="str">
        <f ca="1">INDIRECT(ADDRESS(ROW()+N_Offset_M,COLUMN(E232)+(N_SpracheAuswahl)*26,,,"Text"))</f>
        <v>Anzahl</v>
      </c>
    </row>
    <row r="233" spans="1:36" x14ac:dyDescent="0.25">
      <c r="O233" s="288"/>
      <c r="P233" s="56"/>
    </row>
    <row r="234" spans="1:36" ht="13.2" customHeight="1" x14ac:dyDescent="0.25">
      <c r="A234" s="906" t="str">
        <f>IF(O234=0,"",IF(O234=1,AA234,P234))</f>
        <v/>
      </c>
      <c r="B234" s="906"/>
      <c r="C234" s="906"/>
      <c r="D234" s="906"/>
      <c r="E234" s="92" t="str">
        <f>IF(O234&gt;0,AE234,"")</f>
        <v/>
      </c>
      <c r="F234" s="308"/>
      <c r="G234" s="57"/>
      <c r="H234" s="57"/>
      <c r="I234" s="185"/>
      <c r="O234" s="288">
        <f>IF(O226&lt;1,0,IF(AND(I$224&gt;0,I$225&gt;0),1*NOT(AA234=0),-1))</f>
        <v>0</v>
      </c>
      <c r="P234" s="289" t="str">
        <f ca="1">B_WeiterInZeile&amp;" "&amp;ROW(A$244)</f>
        <v>weiter in Zeile  244</v>
      </c>
      <c r="AA234" s="55" t="str">
        <f t="shared" ref="AA234:AA243" ca="1" si="47">INDIRECT(ADDRESS(ROW()+N_Offset_M,COLUMN(A234)+(N_SpracheAuswahl)*26,,,"Text"))</f>
        <v>Abwesenheit Beginn</v>
      </c>
      <c r="AE234" s="55" t="str">
        <f t="shared" ref="AE234:AE242" ca="1" si="48">INDIRECT(ADDRESS(ROW()+N_Offset_M,COLUMN(E234)+(N_SpracheAuswahl)*26,,,"Text"))</f>
        <v>Datum erster Tag</v>
      </c>
    </row>
    <row r="235" spans="1:36" x14ac:dyDescent="0.25">
      <c r="A235" s="906" t="str">
        <f t="shared" ref="A235:A242" si="49">IF(O235=0,"",IF(O235=1,AA235,P235))</f>
        <v/>
      </c>
      <c r="B235" s="906"/>
      <c r="C235" s="906"/>
      <c r="D235" s="906"/>
      <c r="E235" s="92" t="str">
        <f t="shared" ref="E235:E242" si="50">IF(O235&gt;0,AE235,"")</f>
        <v/>
      </c>
      <c r="F235" s="308"/>
      <c r="G235" s="57"/>
      <c r="H235" s="57"/>
      <c r="I235" s="185"/>
      <c r="O235" s="288">
        <f>IF(AND(I$224&gt;0,I$225&gt;0),1*NOT(AA235=0),0)</f>
        <v>0</v>
      </c>
      <c r="P235" s="56"/>
      <c r="AA235" s="55" t="str">
        <f t="shared" ca="1" si="47"/>
        <v>Abwesenheit Ende</v>
      </c>
      <c r="AE235" s="55" t="str">
        <f t="shared" ca="1" si="48"/>
        <v>Datum letzter Tag (in diesem Monat)</v>
      </c>
    </row>
    <row r="236" spans="1:36" ht="27" customHeight="1" x14ac:dyDescent="0.25">
      <c r="A236" s="908" t="str">
        <f t="shared" si="49"/>
        <v/>
      </c>
      <c r="B236" s="908"/>
      <c r="C236" s="908"/>
      <c r="D236" s="908"/>
      <c r="E236" s="652" t="str">
        <f>IF(O236&gt;0,AE236,"")</f>
        <v/>
      </c>
      <c r="F236" s="676"/>
      <c r="G236" s="903"/>
      <c r="H236" s="904"/>
      <c r="I236" s="905"/>
      <c r="O236" s="288">
        <f>IF(O234&lt;1,0,IF(I234&gt;0,1*NOT(AA236=0),-1))</f>
        <v>0</v>
      </c>
      <c r="P236" s="289" t="str">
        <f ca="1">B_WeiterInZeile&amp;" "&amp;ROW(A$244)</f>
        <v>weiter in Zeile  244</v>
      </c>
      <c r="S236" s="56">
        <f ca="1">IF(ISERROR(VLOOKUP(G236,A_Arbeitsunfähigkeit324a_Auswahl,2,0)),0,VLOOKUP(G236,A_Arbeitsunfähigkeit324a_Auswahl,2,0)+4)</f>
        <v>0</v>
      </c>
      <c r="AA236" s="55" t="str">
        <f t="shared" ca="1" si="47"/>
        <v>Grund für Abwesenheit</v>
      </c>
      <c r="AE236" s="55" t="str">
        <f t="shared" ca="1" si="48"/>
        <v>Auswahl in Spalte G-I</v>
      </c>
    </row>
    <row r="237" spans="1:36" ht="25.2" customHeight="1" x14ac:dyDescent="0.25">
      <c r="A237" s="920" t="str">
        <f ca="1">IF(O237=0,"",IF(O237=1,AA237,IF(O237=2,AI237&amp;" "&amp;AJ237,P237)))</f>
        <v/>
      </c>
      <c r="B237" s="920"/>
      <c r="C237" s="920"/>
      <c r="D237" s="920"/>
      <c r="E237" s="650" t="str">
        <f t="shared" ca="1" si="50"/>
        <v/>
      </c>
      <c r="F237" s="651"/>
      <c r="G237" s="921" t="str">
        <f ca="1">IF(O237=1,Text!I$68,"")</f>
        <v/>
      </c>
      <c r="H237" s="922"/>
      <c r="I237" s="923"/>
      <c r="L237" s="87"/>
      <c r="O237" s="288">
        <f ca="1">IF(AND(I234&gt;0,S236=6),1*NOT(AA237=0),IF(AND(I234&gt;0,S236=9),2*NOT(AA237=0),0))</f>
        <v>0</v>
      </c>
      <c r="P237" s="56"/>
      <c r="S237" s="56">
        <f ca="1">IF(ISERROR(VLOOKUP(G237,A_ArtUnfall_Auswahl,2,0)),0,VLOOKUP(G237,A_ArtUnfall_Auswahl,2,0)-1)*(N_Pensum&lt;8/N_WochenAZ_100Prozent)</f>
        <v>0</v>
      </c>
      <c r="AA237" s="55" t="str">
        <f t="shared" ca="1" si="47"/>
        <v>Art des Unfalls</v>
      </c>
      <c r="AE237" s="55" t="str">
        <f t="shared" ca="1" si="48"/>
        <v>Auswahl in Spalte G-I</v>
      </c>
      <c r="AI237" s="55" t="str">
        <f t="shared" ref="AI237" ca="1" si="51">INDIRECT(ADDRESS(ROW()+N_Offset_M,COLUMN(I237)+(N_SpracheAuswahl)*26,,,"Text"))</f>
        <v>Siehe Hinweis in Zeile</v>
      </c>
      <c r="AJ237" s="55">
        <f>ROW(A$331)</f>
        <v>331</v>
      </c>
    </row>
    <row r="238" spans="1:36" ht="27" customHeight="1" x14ac:dyDescent="0.25">
      <c r="A238" s="882" t="str">
        <f t="shared" ca="1" si="49"/>
        <v/>
      </c>
      <c r="B238" s="882"/>
      <c r="C238" s="882"/>
      <c r="D238" s="882"/>
      <c r="E238" s="650" t="str">
        <f t="shared" ca="1" si="50"/>
        <v/>
      </c>
      <c r="F238" s="677"/>
      <c r="G238" s="910"/>
      <c r="H238" s="911"/>
      <c r="I238" s="912"/>
      <c r="O238" s="288">
        <f ca="1">IF(AND(I234&gt;0,OR(S236=5,S236=6)),1*NOT(AA238=0),0)</f>
        <v>0</v>
      </c>
      <c r="P238" s="56"/>
      <c r="AA238" s="55" t="str">
        <f t="shared" ca="1" si="47"/>
        <v>Ausgelöst durch früheres Ereignis?</v>
      </c>
      <c r="AE238" s="55" t="str">
        <f t="shared" ca="1" si="48"/>
        <v>Auswahl in Spalte G-I</v>
      </c>
    </row>
    <row r="239" spans="1:36" x14ac:dyDescent="0.25">
      <c r="A239" s="906" t="str">
        <f t="shared" si="49"/>
        <v/>
      </c>
      <c r="B239" s="906"/>
      <c r="C239" s="906"/>
      <c r="D239" s="906"/>
      <c r="E239" s="92" t="str">
        <f t="shared" si="50"/>
        <v/>
      </c>
      <c r="F239" s="308"/>
      <c r="G239" s="57"/>
      <c r="H239" s="57"/>
      <c r="I239" s="187"/>
      <c r="O239" s="288">
        <f>IF(I234&gt;0,1*NOT(AA239=0),0)</f>
        <v>0</v>
      </c>
      <c r="P239" s="56"/>
      <c r="AA239" s="55" t="str">
        <f t="shared" ca="1" si="47"/>
        <v>Arbeitsunfähigkeit, Ausmass</v>
      </c>
      <c r="AE239" s="55" t="str">
        <f t="shared" ca="1" si="48"/>
        <v>% gemäss Arztzeugnis</v>
      </c>
    </row>
    <row r="240" spans="1:36" ht="27" customHeight="1" x14ac:dyDescent="0.25">
      <c r="A240" s="862" t="str">
        <f t="shared" si="49"/>
        <v/>
      </c>
      <c r="B240" s="862"/>
      <c r="C240" s="862"/>
      <c r="D240" s="862"/>
      <c r="E240" s="73" t="str">
        <f>IF(O240&gt;0,AE240,"")</f>
        <v/>
      </c>
      <c r="F240" s="678"/>
      <c r="G240" s="913" t="str">
        <f>IF(O240&gt;0,AG240&amp;" "&amp;TEXT('  B  '!C111,"0")&amp;" "&amp;B_Tage&amp;")","")</f>
        <v/>
      </c>
      <c r="H240" s="886"/>
      <c r="I240" s="267"/>
      <c r="L240" s="69"/>
      <c r="O240" s="288">
        <f>IF(NOT(I234&gt;0),0,IF(Q$213*OR(S236=5,(S236=6)*(S237=1))*NOT(AA240=0)=0,0,1+NOT(S$213)))</f>
        <v>0</v>
      </c>
      <c r="P240" s="56" t="str">
        <f ca="1">B_KTG_unvollständig</f>
        <v>Daten KTG in Blatt B noch unvollständig</v>
      </c>
      <c r="Q240" s="56"/>
      <c r="R240" s="56"/>
      <c r="S240" s="56">
        <f ca="1">IF(OR(ISBLANK(I240),I240=0,NOT(S236=5)),100000,I240)</f>
        <v>100000</v>
      </c>
      <c r="AA240" s="55" t="str">
        <f t="shared" ca="1" si="47"/>
        <v>Rückerstattung KTG durch Versicherung ab</v>
      </c>
      <c r="AE240" s="55" t="str">
        <f t="shared" ca="1" si="48"/>
        <v>Datum erster Tag</v>
      </c>
      <c r="AG240" s="55" t="str">
        <f ca="1">INDIRECT(ADDRESS(ROW()+N_Offset_M,COLUMN(G240)+(N_SpracheAuswahl)*26,,,"Text"))</f>
        <v>(Wartefrist</v>
      </c>
    </row>
    <row r="241" spans="1:108" ht="27" customHeight="1" x14ac:dyDescent="0.25">
      <c r="A241" s="862" t="str">
        <f t="shared" si="49"/>
        <v/>
      </c>
      <c r="B241" s="862"/>
      <c r="C241" s="862"/>
      <c r="D241" s="862"/>
      <c r="E241" s="916" t="str">
        <f t="shared" si="50"/>
        <v/>
      </c>
      <c r="F241" s="916"/>
      <c r="G241" s="92" t="str">
        <f>IF(O241&gt;0,AG241&amp;" "&amp;TEXT('  B  '!C115,"0")&amp;" "&amp;B_Tage&amp;")","")</f>
        <v/>
      </c>
      <c r="H241" s="178"/>
      <c r="I241" s="267"/>
      <c r="O241" s="288">
        <f>IF(NOT(I234&gt;0),0,IF(Q$213*OR(S236=5,(S236=6)*(S237=1))*NOT(AA241=0)=0,0,1+NOT(S$213)))</f>
        <v>0</v>
      </c>
      <c r="P241" s="56"/>
      <c r="S241" s="56">
        <f ca="1">IF(OR(ISBLANK(I241),I241=0,NOT(S236=5)),100000,I241)</f>
        <v>100000</v>
      </c>
      <c r="AA241" s="55" t="str">
        <f t="shared" ca="1" si="47"/>
        <v>KTG-Versicherung läuft aus am (=Ende Lohnfortzahlung)</v>
      </c>
      <c r="AE241" s="55" t="str">
        <f t="shared" ca="1" si="48"/>
        <v>Datum letzter Tag (offen lassen wenn nicht in diesem Monat)</v>
      </c>
      <c r="AG241" s="55" t="str">
        <f ca="1">INDIRECT(ADDRESS(ROW()+N_Offset_M,COLUMN(G241)+(N_SpracheAuswahl)*26,,,"Text"))</f>
        <v>(Dauer</v>
      </c>
    </row>
    <row r="242" spans="1:108" x14ac:dyDescent="0.25">
      <c r="A242" s="964" t="str">
        <f t="shared" si="49"/>
        <v/>
      </c>
      <c r="B242" s="964"/>
      <c r="C242" s="964"/>
      <c r="D242" s="964"/>
      <c r="E242" s="822" t="str">
        <f t="shared" si="50"/>
        <v/>
      </c>
      <c r="F242" s="823"/>
      <c r="G242" s="730"/>
      <c r="H242" s="825"/>
      <c r="I242" s="820"/>
      <c r="O242" s="288">
        <f>IF(I234&gt;0,1*NOT(AA242=0),0)</f>
        <v>0</v>
      </c>
      <c r="P242" s="56"/>
      <c r="AA242" s="84" t="str">
        <f t="shared" ca="1" si="47"/>
        <v>Nächte</v>
      </c>
      <c r="AE242" s="55" t="str">
        <f t="shared" ca="1" si="48"/>
        <v>Anzahl</v>
      </c>
    </row>
    <row r="243" spans="1:108" x14ac:dyDescent="0.25">
      <c r="A243" s="982" t="str">
        <f ca="1">AA243</f>
        <v>Die Vorgaben von Arbeitsvertrag, OR und IV sind einzuhalten</v>
      </c>
      <c r="B243" s="982"/>
      <c r="C243" s="982"/>
      <c r="D243" s="982"/>
      <c r="E243" s="982"/>
      <c r="F243" s="982"/>
      <c r="G243" s="982"/>
      <c r="H243" s="982"/>
      <c r="I243" s="982"/>
      <c r="J243" s="982"/>
      <c r="O243" s="288">
        <v>1</v>
      </c>
      <c r="P243" s="56"/>
      <c r="AA243" s="84" t="str">
        <f t="shared" ca="1" si="47"/>
        <v>Die Vorgaben von Arbeitsvertrag, OR und IV sind einzuhalten</v>
      </c>
    </row>
    <row r="244" spans="1:108" x14ac:dyDescent="0.25">
      <c r="A244" s="75" t="str">
        <f ca="1">AA244</f>
        <v>3. Verhinderung an der Arbeitsleistung</v>
      </c>
      <c r="B244" s="389"/>
      <c r="C244" s="389"/>
      <c r="D244" s="389"/>
      <c r="E244" s="389"/>
      <c r="F244" s="389"/>
      <c r="G244" s="389"/>
      <c r="H244" s="389"/>
      <c r="I244" s="390" t="str">
        <f ca="1">AI244</f>
        <v>Seite 6</v>
      </c>
      <c r="O244" s="288">
        <f t="shared" ref="O244:O248" ca="1" si="52">1*NOT(AA244=0)</f>
        <v>1</v>
      </c>
      <c r="P244" s="56"/>
      <c r="AA244" s="55" t="str">
        <f t="shared" ref="AA244:AA248" ca="1" si="53">INDIRECT(ADDRESS(ROW()+N_Offset_M,COLUMN(A244)+(N_SpracheAuswahl)*26,,,"Text"))</f>
        <v>3. Verhinderung an der Arbeitsleistung</v>
      </c>
      <c r="AI244" s="55" t="str">
        <f ca="1">INDIRECT(ADDRESS(ROW()+N_Offset_M,COLUMN(I244)+(N_SpracheAuswahl)*26,,,"Text"))</f>
        <v>Seite 6</v>
      </c>
    </row>
    <row r="245" spans="1:108" x14ac:dyDescent="0.25">
      <c r="A245" s="75" t="str">
        <f ca="1">AA245</f>
        <v>(behinderte Person kann Leistung nicht entgegennehmen) (Art. 324 OR)</v>
      </c>
      <c r="B245" s="389"/>
      <c r="C245" s="389"/>
      <c r="D245" s="389"/>
      <c r="E245" s="389"/>
      <c r="F245" s="389"/>
      <c r="G245" s="389"/>
      <c r="H245" s="389"/>
      <c r="I245" s="389"/>
      <c r="O245" s="288">
        <f t="shared" ca="1" si="52"/>
        <v>1</v>
      </c>
      <c r="P245" s="56"/>
      <c r="AA245" s="55" t="str">
        <f t="shared" ca="1" si="53"/>
        <v>(behinderte Person kann Leistung nicht entgegennehmen) (Art. 324 OR)</v>
      </c>
    </row>
    <row r="246" spans="1:108" x14ac:dyDescent="0.25">
      <c r="A246" s="909" t="str">
        <f t="shared" ref="A246:A254" ca="1" si="54">IF(O246=0,"",IF(O246=1,AA246,P246))</f>
        <v>Verhinderung, Beginn</v>
      </c>
      <c r="B246" s="909"/>
      <c r="C246" s="909"/>
      <c r="D246" s="909"/>
      <c r="E246" s="92" t="str">
        <f t="shared" ref="E246:E254" ca="1" si="55">IF(O246&gt;0,AE246,"")</f>
        <v>Datum erster Tag</v>
      </c>
      <c r="F246" s="680"/>
      <c r="G246" s="680"/>
      <c r="H246" s="681"/>
      <c r="I246" s="185"/>
      <c r="J246" s="63"/>
      <c r="K246" s="63"/>
      <c r="L246" s="63"/>
      <c r="O246" s="288">
        <f t="shared" ca="1" si="52"/>
        <v>1</v>
      </c>
      <c r="P246" s="56"/>
      <c r="AA246" s="55" t="str">
        <f t="shared" ca="1" si="53"/>
        <v>Verhinderung, Beginn</v>
      </c>
      <c r="AE246" s="55" t="str">
        <f ca="1">INDIRECT(ADDRESS(ROW()+N_Offset_M,COLUMN(E246)+(N_SpracheAuswahl)*26,,,"Text"))</f>
        <v>Datum erster Tag</v>
      </c>
    </row>
    <row r="247" spans="1:108" x14ac:dyDescent="0.25">
      <c r="A247" s="909" t="str">
        <f t="shared" ca="1" si="54"/>
        <v>Verhinderung Ende</v>
      </c>
      <c r="B247" s="909"/>
      <c r="C247" s="909"/>
      <c r="D247" s="909"/>
      <c r="E247" s="92" t="str">
        <f t="shared" ca="1" si="55"/>
        <v>Datum letzter Tag</v>
      </c>
      <c r="F247" s="680"/>
      <c r="G247" s="680"/>
      <c r="H247" s="681"/>
      <c r="I247" s="185"/>
      <c r="J247" s="63"/>
      <c r="K247" s="63"/>
      <c r="L247" s="63"/>
      <c r="O247" s="288">
        <f t="shared" ca="1" si="52"/>
        <v>1</v>
      </c>
      <c r="P247" s="56"/>
      <c r="AA247" s="55" t="str">
        <f t="shared" ca="1" si="53"/>
        <v>Verhinderung Ende</v>
      </c>
      <c r="AE247" s="55" t="str">
        <f ca="1">INDIRECT(ADDRESS(ROW()+N_Offset_M,COLUMN(E247)+(N_SpracheAuswahl)*26,,,"Text"))</f>
        <v>Datum letzter Tag</v>
      </c>
    </row>
    <row r="248" spans="1:108" x14ac:dyDescent="0.25">
      <c r="A248" s="909" t="str">
        <f t="shared" ca="1" si="54"/>
        <v>Nächte</v>
      </c>
      <c r="B248" s="909"/>
      <c r="C248" s="909"/>
      <c r="D248" s="909"/>
      <c r="E248" s="92" t="str">
        <f t="shared" ca="1" si="55"/>
        <v>Anzahl</v>
      </c>
      <c r="F248" s="308"/>
      <c r="G248" s="308"/>
      <c r="H248" s="308"/>
      <c r="I248" s="820"/>
      <c r="J248" s="63"/>
      <c r="K248" s="63"/>
      <c r="L248" s="63"/>
      <c r="O248" s="288">
        <f t="shared" ca="1" si="52"/>
        <v>1</v>
      </c>
      <c r="P248" s="56"/>
      <c r="AA248" s="55" t="str">
        <f t="shared" ca="1" si="53"/>
        <v>Nächte</v>
      </c>
      <c r="AE248" s="55" t="str">
        <f ca="1">INDIRECT(ADDRESS(ROW()+N_Offset_M,COLUMN(E248)+(N_SpracheAuswahl)*26,,,"Text"))</f>
        <v>Anzahl</v>
      </c>
    </row>
    <row r="249" spans="1:108" x14ac:dyDescent="0.25">
      <c r="A249" s="909" t="str">
        <f t="shared" si="54"/>
        <v/>
      </c>
      <c r="B249" s="909"/>
      <c r="C249" s="909"/>
      <c r="D249" s="909"/>
      <c r="E249" s="92" t="str">
        <f t="shared" si="55"/>
        <v/>
      </c>
      <c r="F249" s="680"/>
      <c r="G249" s="680"/>
      <c r="H249" s="681"/>
      <c r="I249" s="821"/>
      <c r="J249" s="63"/>
      <c r="K249" s="63"/>
      <c r="L249" s="63"/>
      <c r="O249" s="288"/>
      <c r="P249" s="382"/>
      <c r="DB249" s="87"/>
      <c r="DC249" s="87"/>
      <c r="DD249" s="87"/>
    </row>
    <row r="250" spans="1:108" x14ac:dyDescent="0.25">
      <c r="A250" s="909" t="str">
        <f t="shared" si="54"/>
        <v/>
      </c>
      <c r="B250" s="909"/>
      <c r="C250" s="909"/>
      <c r="D250" s="909"/>
      <c r="E250" s="92" t="str">
        <f t="shared" si="55"/>
        <v/>
      </c>
      <c r="F250" s="680"/>
      <c r="G250" s="680"/>
      <c r="H250" s="681"/>
      <c r="I250" s="185"/>
      <c r="J250" s="63"/>
      <c r="K250" s="63"/>
      <c r="L250" s="63"/>
      <c r="O250" s="288"/>
      <c r="P250" s="56"/>
      <c r="BN250" s="87"/>
    </row>
    <row r="251" spans="1:108" x14ac:dyDescent="0.25">
      <c r="A251" s="909" t="str">
        <f t="shared" si="54"/>
        <v/>
      </c>
      <c r="B251" s="909"/>
      <c r="C251" s="909"/>
      <c r="D251" s="909"/>
      <c r="E251" s="679" t="str">
        <f t="shared" si="55"/>
        <v/>
      </c>
      <c r="F251" s="308"/>
      <c r="G251" s="308"/>
      <c r="H251" s="308"/>
      <c r="I251" s="69"/>
      <c r="J251" s="63"/>
      <c r="K251" s="63"/>
      <c r="L251" s="63"/>
      <c r="O251" s="288"/>
      <c r="P251" s="56"/>
    </row>
    <row r="252" spans="1:108" x14ac:dyDescent="0.25">
      <c r="A252" s="909" t="str">
        <f t="shared" si="54"/>
        <v/>
      </c>
      <c r="B252" s="909"/>
      <c r="C252" s="909"/>
      <c r="D252" s="909"/>
      <c r="E252" s="92" t="str">
        <f t="shared" si="55"/>
        <v/>
      </c>
      <c r="F252" s="680"/>
      <c r="G252" s="680"/>
      <c r="H252" s="681"/>
      <c r="I252" s="185"/>
      <c r="O252" s="288"/>
      <c r="P252" s="382"/>
    </row>
    <row r="253" spans="1:108" x14ac:dyDescent="0.25">
      <c r="A253" s="909" t="str">
        <f t="shared" si="54"/>
        <v/>
      </c>
      <c r="B253" s="909"/>
      <c r="C253" s="909"/>
      <c r="D253" s="909"/>
      <c r="E253" s="92" t="str">
        <f t="shared" si="55"/>
        <v/>
      </c>
      <c r="F253" s="680"/>
      <c r="G253" s="680"/>
      <c r="H253" s="681"/>
      <c r="I253" s="185"/>
      <c r="O253" s="288"/>
      <c r="P253" s="56"/>
    </row>
    <row r="254" spans="1:108" x14ac:dyDescent="0.25">
      <c r="A254" s="55" t="str">
        <f t="shared" si="54"/>
        <v/>
      </c>
      <c r="E254" s="55" t="str">
        <f t="shared" si="55"/>
        <v/>
      </c>
      <c r="O254" s="288"/>
      <c r="P254" s="382"/>
      <c r="DB254" s="87"/>
      <c r="DC254" s="61"/>
      <c r="DD254" s="61"/>
    </row>
    <row r="255" spans="1:108" x14ac:dyDescent="0.25">
      <c r="DB255" s="61"/>
      <c r="DC255" s="61"/>
      <c r="DD255" s="61"/>
    </row>
    <row r="256" spans="1:108" x14ac:dyDescent="0.25">
      <c r="DB256" s="61"/>
      <c r="DC256" s="61"/>
      <c r="DD256" s="61"/>
    </row>
    <row r="257" spans="1:119" x14ac:dyDescent="0.25">
      <c r="DB257" s="61"/>
      <c r="DC257" s="61"/>
      <c r="DD257" s="61"/>
    </row>
    <row r="258" spans="1:119" x14ac:dyDescent="0.25">
      <c r="DB258" s="61"/>
      <c r="DC258" s="61"/>
      <c r="DD258" s="61"/>
    </row>
    <row r="259" spans="1:119" s="497" customFormat="1" ht="15" customHeight="1" x14ac:dyDescent="0.25">
      <c r="A259" s="496" t="str">
        <f ca="1">INDIRECT(ADDRESS(ROW()+N_Offset_M,COLUMN()+(N_SpracheAuswahl)*26,,,"Text"))</f>
        <v>Einsatzrapport pro Tag</v>
      </c>
      <c r="E259" s="497" t="str">
        <f>'  B  '!C34&amp;" "&amp;'  B  '!C35&amp;", "&amp;'  B  '!C40</f>
        <v xml:space="preserve"> , </v>
      </c>
      <c r="I259" s="498" t="str">
        <f ca="1">INDIRECT(ADDRESS(ROW()+N_Offset_M,COLUMN()+(N_SpracheAuswahl)*26,,,"Text"))</f>
        <v>Seiten 7-8</v>
      </c>
      <c r="U259" s="502"/>
      <c r="AC259" s="497" t="s">
        <v>1275</v>
      </c>
      <c r="AE259" s="503"/>
      <c r="AF259" s="504"/>
      <c r="AH259" s="502" t="s">
        <v>466</v>
      </c>
      <c r="AI259" s="499"/>
      <c r="AK259" s="499"/>
      <c r="AM259" s="499"/>
      <c r="AP259" s="499"/>
      <c r="AQ259" s="499"/>
      <c r="AR259" s="505"/>
      <c r="AT259" s="504" t="s">
        <v>467</v>
      </c>
      <c r="AV259" s="502" t="s">
        <v>207</v>
      </c>
      <c r="AW259" s="503"/>
      <c r="AY259" s="504" t="s">
        <v>695</v>
      </c>
      <c r="BA259" s="502" t="s">
        <v>521</v>
      </c>
      <c r="BC259" s="503"/>
      <c r="BE259" s="504" t="s">
        <v>208</v>
      </c>
      <c r="BG259" s="504" t="s">
        <v>209</v>
      </c>
      <c r="BI259" s="502" t="s">
        <v>76</v>
      </c>
      <c r="BS259" s="503"/>
      <c r="BU259" s="502"/>
      <c r="CA259" s="506" t="s">
        <v>474</v>
      </c>
      <c r="CC259" s="497" t="s">
        <v>469</v>
      </c>
      <c r="CF259" s="506"/>
      <c r="CH259" s="497" t="s">
        <v>699</v>
      </c>
      <c r="CK259" s="502"/>
      <c r="CM259" s="503"/>
      <c r="CO259" s="502" t="s">
        <v>76</v>
      </c>
      <c r="CY259" s="503"/>
      <c r="DA259" s="507" t="s">
        <v>1037</v>
      </c>
      <c r="DB259" s="508">
        <f ca="1">((N_LohnartAuswahl=1)*N_BruttoStundenSatz_Monatslohn+(N_LohnartAuswahl=2)*CF260)*(1+N_SVers_Beitrag_AG)*(1+N_Ferienzuschlag)*IF(VLOOKUP('  B  '!C65,A_JaNein_Auswahl,2,0)=1,13/12,12/12)</f>
        <v>0</v>
      </c>
      <c r="DC259" s="508"/>
      <c r="DD259" s="509"/>
      <c r="DE259" s="502" t="s">
        <v>87</v>
      </c>
      <c r="DG259" s="503"/>
      <c r="DI259" s="507" t="s">
        <v>1291</v>
      </c>
      <c r="DJ259" s="508"/>
      <c r="DK259" s="508"/>
      <c r="DL259" s="509"/>
      <c r="DM259" s="502" t="s">
        <v>87</v>
      </c>
      <c r="DO259" s="503"/>
    </row>
    <row r="260" spans="1:119" x14ac:dyDescent="0.25">
      <c r="A260" s="493" t="str">
        <f ca="1">INDIRECT(ADDRESS(ROW()+N_Offset_M,COLUMN()+(N_SpracheAuswahl)*26,,,"Text"))</f>
        <v>Die Eingabefelder in diesem Abschnitt befinden sich in Spalte B für Stunden mit Standardqualifikation, Spalte C für Stunden mit Qualifikation B und Spalte D für Anzahl Nächte</v>
      </c>
      <c r="B260" s="214"/>
      <c r="C260" s="214"/>
      <c r="D260" s="214"/>
      <c r="E260" s="214"/>
      <c r="F260" s="214"/>
      <c r="G260" s="214"/>
      <c r="H260" s="901">
        <f>P1</f>
        <v>45474</v>
      </c>
      <c r="I260" s="902"/>
      <c r="M260" s="87"/>
      <c r="U260" s="226">
        <v>1</v>
      </c>
      <c r="V260" s="137">
        <v>2</v>
      </c>
      <c r="W260" s="137">
        <v>3</v>
      </c>
      <c r="X260" s="137">
        <v>4</v>
      </c>
      <c r="Y260" s="137">
        <v>5</v>
      </c>
      <c r="Z260" s="137">
        <v>6</v>
      </c>
      <c r="AA260" s="137">
        <v>7</v>
      </c>
      <c r="AB260" s="137">
        <v>8</v>
      </c>
      <c r="AC260" s="137">
        <v>9</v>
      </c>
      <c r="AD260" s="137">
        <v>10</v>
      </c>
      <c r="AE260" s="223" t="s">
        <v>607</v>
      </c>
      <c r="AF260" s="239"/>
      <c r="AH260" s="222"/>
      <c r="AI260" s="137"/>
      <c r="AK260" s="137"/>
      <c r="AO260" s="55"/>
      <c r="AP260" s="137"/>
      <c r="AR260" s="224"/>
      <c r="AT260" s="239"/>
      <c r="AV260" s="222"/>
      <c r="AW260" s="223"/>
      <c r="AY260" s="239"/>
      <c r="BA260" s="222"/>
      <c r="BC260" s="223"/>
      <c r="BE260" s="239"/>
      <c r="BG260" s="239"/>
      <c r="BI260" s="222"/>
      <c r="BJ260" s="137">
        <v>1</v>
      </c>
      <c r="BK260" s="137">
        <v>2</v>
      </c>
      <c r="BL260" s="137">
        <v>3</v>
      </c>
      <c r="BM260" s="137">
        <v>4</v>
      </c>
      <c r="BN260" s="137">
        <v>5</v>
      </c>
      <c r="BO260" s="137">
        <v>6</v>
      </c>
      <c r="BP260" s="137">
        <v>7</v>
      </c>
      <c r="BQ260" s="137">
        <v>8</v>
      </c>
      <c r="BR260" s="137">
        <v>9</v>
      </c>
      <c r="BS260" s="224">
        <v>10</v>
      </c>
      <c r="BU260" s="222"/>
      <c r="BY260" s="221"/>
      <c r="BZ260" s="221"/>
      <c r="CA260" s="221"/>
      <c r="CB260" s="221"/>
      <c r="CC260" s="221"/>
      <c r="CD260" s="221"/>
      <c r="CE260" s="221" t="s">
        <v>470</v>
      </c>
      <c r="CF260" s="263">
        <f ca="1">(INDEX(A_Stundenmix,1,MONTH(P1))+INDEX(A_Stundenmix,2,MONTH(P1)))*'  B  '!H59+INDEX(A_Stundenmix,3,MONTH(P1))*'  B  '!C61/OFFSET(Vorgabewerte!$E10:$E14,N_NachtStufe,0,1,1)</f>
        <v>0</v>
      </c>
      <c r="CK260" s="222" t="s">
        <v>88</v>
      </c>
      <c r="CL260" s="55" t="s">
        <v>89</v>
      </c>
      <c r="CM260" s="223" t="s">
        <v>90</v>
      </c>
      <c r="CO260" s="222"/>
      <c r="CP260" s="137">
        <v>1</v>
      </c>
      <c r="CQ260" s="137">
        <v>2</v>
      </c>
      <c r="CR260" s="137">
        <v>3</v>
      </c>
      <c r="CS260" s="137">
        <v>4</v>
      </c>
      <c r="CT260" s="137">
        <v>5</v>
      </c>
      <c r="CU260" s="137">
        <v>6</v>
      </c>
      <c r="CV260" s="137">
        <v>7</v>
      </c>
      <c r="CW260" s="137">
        <v>8</v>
      </c>
      <c r="CX260" s="137">
        <v>9</v>
      </c>
      <c r="CY260" s="224">
        <v>10</v>
      </c>
      <c r="DA260" s="243" t="s">
        <v>690</v>
      </c>
      <c r="DB260" s="375">
        <f ca="1">INDEX(A_Stundenmix,1,MONTH(P1))*Vorgabewerte!C4+INDEX(A_Stundenmix,2,MONTH(P1))*Vorgabewerte!C5+INDEX(A_Stundenmix,3,MONTH(P1))*IF(N_NachtStufe&gt;0,'  B  '!C28/OFFSET(Vorgabewerte!$E10:$E14,N_NachtStufe,0,1,1),Vorgabewerte!C4)</f>
        <v>0</v>
      </c>
      <c r="DC260" s="375"/>
      <c r="DD260" s="253"/>
      <c r="DE260" s="222" t="s">
        <v>88</v>
      </c>
      <c r="DF260" s="55" t="s">
        <v>89</v>
      </c>
      <c r="DG260" s="223" t="s">
        <v>90</v>
      </c>
      <c r="DI260" s="683" t="s">
        <v>1298</v>
      </c>
      <c r="DJ260" s="375">
        <f ca="1">Vorgabewerte!C6</f>
        <v>34.299999999999997</v>
      </c>
      <c r="DK260" s="375"/>
      <c r="DL260" s="253"/>
      <c r="DM260" s="222" t="s">
        <v>88</v>
      </c>
      <c r="DN260" s="55" t="s">
        <v>89</v>
      </c>
      <c r="DO260" s="223" t="s">
        <v>90</v>
      </c>
    </row>
    <row r="261" spans="1:119" ht="27" customHeight="1" x14ac:dyDescent="0.25">
      <c r="B261" s="899" t="str">
        <f ca="1">INDIRECT(ADDRESS(ROW()+N_Offset_M,COLUMN()+(N_SpracheAuswahl)*26,,,"Text"))</f>
        <v>blau = Ferien, gelbbraun = 100% Arbeitsunfähigkeit, grau = ausserhalb Anstellungsdauer</v>
      </c>
      <c r="C261" s="900"/>
      <c r="D261" s="900"/>
      <c r="E261" s="900"/>
      <c r="F261" s="900"/>
      <c r="G261" s="900"/>
      <c r="H261" s="900"/>
      <c r="I261" s="900"/>
      <c r="T261" s="1"/>
      <c r="U261" s="222"/>
      <c r="AE261" s="223"/>
      <c r="AF261" s="239"/>
      <c r="AH261" s="10"/>
      <c r="AI261" s="231" t="s">
        <v>359</v>
      </c>
      <c r="AJ261" s="1" t="s">
        <v>633</v>
      </c>
      <c r="AK261" s="231" t="s">
        <v>635</v>
      </c>
      <c r="AL261" s="1" t="s">
        <v>633</v>
      </c>
      <c r="AM261" s="231" t="s">
        <v>348</v>
      </c>
      <c r="AN261" s="231" t="s">
        <v>351</v>
      </c>
      <c r="AO261" s="231" t="s">
        <v>353</v>
      </c>
      <c r="AP261" s="231" t="s">
        <v>352</v>
      </c>
      <c r="AQ261" s="231" t="s">
        <v>358</v>
      </c>
      <c r="AR261" s="232" t="s">
        <v>345</v>
      </c>
      <c r="AT261" s="239"/>
      <c r="AV261" s="243" t="s">
        <v>468</v>
      </c>
      <c r="AW261" s="244" t="s">
        <v>600</v>
      </c>
      <c r="AY261" s="272" t="s">
        <v>80</v>
      </c>
      <c r="BA261" s="243" t="s">
        <v>762</v>
      </c>
      <c r="BB261" s="2" t="s">
        <v>893</v>
      </c>
      <c r="BC261" s="244" t="s">
        <v>206</v>
      </c>
      <c r="BE261" s="251" t="s">
        <v>468</v>
      </c>
      <c r="BG261" s="251" t="s">
        <v>468</v>
      </c>
      <c r="BI261" s="222"/>
      <c r="BR261" s="655" t="s">
        <v>1273</v>
      </c>
      <c r="BS261" s="223"/>
      <c r="BU261" s="10" t="s">
        <v>630</v>
      </c>
      <c r="BV261" s="1" t="s">
        <v>632</v>
      </c>
      <c r="BW261" s="1"/>
      <c r="BX261" s="1" t="s">
        <v>697</v>
      </c>
      <c r="BY261" s="1"/>
      <c r="BZ261" s="1" t="s">
        <v>475</v>
      </c>
      <c r="CK261" s="222"/>
      <c r="CM261" s="223"/>
      <c r="CO261" s="222"/>
      <c r="CY261" s="223"/>
      <c r="DA261" s="259" t="s">
        <v>360</v>
      </c>
      <c r="DB261" s="606" t="e">
        <f ca="1">MIN(1,DB260/DB259)</f>
        <v>#DIV/0!</v>
      </c>
      <c r="DC261" s="560"/>
      <c r="DD261" s="561"/>
      <c r="DE261" s="222"/>
      <c r="DG261" s="223"/>
      <c r="DI261" s="259" t="s">
        <v>360</v>
      </c>
      <c r="DJ261" s="606" t="e">
        <f ca="1">MIN(1,DB260/DB259)</f>
        <v>#DIV/0!</v>
      </c>
      <c r="DK261" s="560"/>
      <c r="DL261" s="561"/>
      <c r="DM261" s="222"/>
      <c r="DO261" s="223"/>
    </row>
    <row r="262" spans="1:119" ht="94.8" x14ac:dyDescent="0.25">
      <c r="A262" s="188" t="str">
        <f ca="1">INDIRECT(ADDRESS(ROW()+N_Offset_M,COLUMN()+(N_SpracheAuswahl)*26,,,"Text"))</f>
        <v>Datum
(grün = Samstag / Sonntag)</v>
      </c>
      <c r="B262" s="459" t="str">
        <f ca="1">INDIRECT(ADDRESS(ROW()+N_Offset_M,COLUMN()+(N_SpracheAuswahl)*26,,,"Text"))</f>
        <v>geleistete Stunden mit Standardqualifik.</v>
      </c>
      <c r="C262" s="459" t="str">
        <f t="shared" ref="C262:I262" ca="1" si="56">INDIRECT(ADDRESS(ROW()+N_Offset_M,COLUMN()+(N_SpracheAuswahl)*26,,,"Text"))</f>
        <v>geleistete Stunden mit Qualifikation B</v>
      </c>
      <c r="D262" s="459" t="str">
        <f t="shared" ca="1" si="56"/>
        <v>geleistete Nächte (jeweils 1 eintragen)</v>
      </c>
      <c r="E262" s="897" t="str">
        <f t="shared" ca="1" si="56"/>
        <v>Bemerkungen</v>
      </c>
      <c r="F262" s="898"/>
      <c r="G262" s="668" t="str">
        <f t="shared" ca="1" si="56"/>
        <v>angerechnete Stunden mit Lohnfortzahlung</v>
      </c>
      <c r="H262" s="668" t="str">
        <f t="shared" ca="1" si="56"/>
        <v>angerechnete Stunden ohne Lohnfortzahlung</v>
      </c>
      <c r="I262" s="668" t="str">
        <f t="shared" ca="1" si="56"/>
        <v>Anspruch auf Rückvergütung durch AB-IV (falls nicht versichert)</v>
      </c>
      <c r="M262" s="87"/>
      <c r="P262" s="150" t="s">
        <v>888</v>
      </c>
      <c r="R262" s="55" t="s">
        <v>844</v>
      </c>
      <c r="S262" s="62" t="s">
        <v>575</v>
      </c>
      <c r="U262" s="222"/>
      <c r="AE262" s="223"/>
      <c r="AF262" s="239"/>
      <c r="AH262" s="222"/>
      <c r="AI262" s="137"/>
      <c r="AJ262" s="137" t="s">
        <v>375</v>
      </c>
      <c r="AK262" s="137"/>
      <c r="AL262" s="137" t="s">
        <v>376</v>
      </c>
      <c r="AO262" s="55"/>
      <c r="AP262" s="137"/>
      <c r="AR262" s="224"/>
      <c r="AT262" s="240" t="s">
        <v>505</v>
      </c>
      <c r="AV262" s="222"/>
      <c r="AW262" s="245"/>
      <c r="AY262" s="239"/>
      <c r="BA262" s="222"/>
      <c r="BC262" s="245"/>
      <c r="BE262" s="239"/>
      <c r="BG262" s="239"/>
      <c r="BI262" s="222"/>
      <c r="BS262" s="223"/>
      <c r="BU262" s="222"/>
      <c r="BX262" s="1" t="s">
        <v>695</v>
      </c>
      <c r="BY262" s="1" t="s">
        <v>208</v>
      </c>
      <c r="BZ262" s="1" t="s">
        <v>698</v>
      </c>
      <c r="CA262" s="262" t="s">
        <v>476</v>
      </c>
      <c r="CB262" s="262"/>
      <c r="CC262" s="262" t="s">
        <v>695</v>
      </c>
      <c r="CD262" s="262" t="s">
        <v>208</v>
      </c>
      <c r="CE262" s="262" t="s">
        <v>696</v>
      </c>
      <c r="CF262" s="264" t="s">
        <v>476</v>
      </c>
      <c r="CH262" s="1" t="s">
        <v>695</v>
      </c>
      <c r="CI262" s="1" t="s">
        <v>208</v>
      </c>
      <c r="CJ262" s="264" t="s">
        <v>83</v>
      </c>
      <c r="CK262" s="222"/>
      <c r="CM262" s="223"/>
      <c r="CO262" s="222"/>
      <c r="CY262" s="223"/>
      <c r="DA262" s="259" t="s">
        <v>234</v>
      </c>
      <c r="DB262" s="381" t="s">
        <v>749</v>
      </c>
      <c r="DC262" s="381" t="s">
        <v>1038</v>
      </c>
      <c r="DD262" s="378" t="s">
        <v>1032</v>
      </c>
      <c r="DE262" s="222"/>
      <c r="DG262" s="223"/>
      <c r="DI262" s="259" t="s">
        <v>234</v>
      </c>
      <c r="DJ262" s="381" t="s">
        <v>749</v>
      </c>
      <c r="DK262" s="381" t="s">
        <v>1038</v>
      </c>
      <c r="DL262" s="378" t="s">
        <v>1032</v>
      </c>
      <c r="DM262" s="222"/>
      <c r="DO262" s="223"/>
    </row>
    <row r="263" spans="1:119" ht="4.6500000000000004" customHeight="1" x14ac:dyDescent="0.25">
      <c r="A263" s="525" t="str">
        <f ca="1">INDIRECT(ADDRESS(ROW()+N_Offset_M,COLUMN()+(N_SpracheAuswahl)*26,,,"Text"))</f>
        <v>Bei Monaten mit weniger als 31 Tagen dürfen die letzten Zeilen mit dem Datum des Folgemonats nicht benutzt werden</v>
      </c>
      <c r="B263" s="39" t="s">
        <v>526</v>
      </c>
      <c r="C263" s="39"/>
      <c r="D263" s="40"/>
      <c r="E263" s="215"/>
      <c r="F263" s="682"/>
      <c r="G263" s="788"/>
      <c r="H263" s="670"/>
      <c r="I263" s="40"/>
      <c r="P263" s="151"/>
      <c r="U263" s="222"/>
      <c r="AE263" s="223"/>
      <c r="AF263" s="39"/>
      <c r="AH263" s="222" t="s">
        <v>636</v>
      </c>
      <c r="AI263" s="152"/>
      <c r="AJ263" s="137"/>
      <c r="AK263" s="233">
        <f ca="1">' 06 '!AK295</f>
        <v>0</v>
      </c>
      <c r="AL263" s="137"/>
      <c r="AN263" s="137">
        <f>IF(N_Kündigungsfrist_Beginn=AH264,0,1)</f>
        <v>1</v>
      </c>
      <c r="AO263" s="55"/>
      <c r="AP263" s="233">
        <f ca="1">' 06 '!AP295</f>
        <v>0</v>
      </c>
      <c r="AR263" s="234">
        <f ca="1">' 06 '!AR295</f>
        <v>0</v>
      </c>
      <c r="AT263" s="355">
        <f ca="1">' 06 '!AT295+N318</f>
        <v>28</v>
      </c>
      <c r="AV263" s="246">
        <f ca="1">' 06 '!AV295</f>
        <v>0</v>
      </c>
      <c r="AW263" s="245"/>
      <c r="AY263" s="239"/>
      <c r="BA263" s="222"/>
      <c r="BB263" s="249">
        <f ca="1">' 06 '!BB295</f>
        <v>0</v>
      </c>
      <c r="BC263" s="245"/>
      <c r="BE263" s="252">
        <f ca="1">' 06 '!BE295</f>
        <v>0</v>
      </c>
      <c r="BG263" s="252">
        <f ca="1">' 06 '!BG295</f>
        <v>0</v>
      </c>
      <c r="BI263" s="222"/>
      <c r="BS263" s="223"/>
      <c r="BU263" s="222"/>
      <c r="CA263" s="151"/>
      <c r="CB263" s="151"/>
      <c r="CC263" s="151"/>
      <c r="CD263" s="151"/>
      <c r="CE263" s="151"/>
      <c r="CK263" s="222"/>
      <c r="CM263" s="223"/>
      <c r="CO263" s="222"/>
      <c r="CY263" s="223"/>
      <c r="DA263" s="222"/>
      <c r="DD263" s="223"/>
      <c r="DE263" s="222"/>
      <c r="DG263" s="223"/>
      <c r="DI263" s="222"/>
      <c r="DJ263" s="379">
        <f ca="1">(AE263=5)*IF('  B  '!F$110=1,IF(NOT(AY263=1),I263*'  B  '!F$113*DJ$260,I263*MAX(0,OFFSET(Vorgabewerte!D$56,AE263,0,1,1)-'  B  '!F$114)*DJ$260),I263*OFFSET(Vorgabewerte!D$56,AE263,0,1,1)*DJ$260)</f>
        <v>0</v>
      </c>
      <c r="DK263" s="379"/>
      <c r="DL263" s="223"/>
      <c r="DM263" s="22"/>
      <c r="DO263" s="223"/>
    </row>
    <row r="264" spans="1:119" x14ac:dyDescent="0.25">
      <c r="A264" s="153">
        <f>P1</f>
        <v>45474</v>
      </c>
      <c r="B264" s="154"/>
      <c r="C264" s="154"/>
      <c r="D264" s="154"/>
      <c r="E264" s="875" t="str">
        <f t="shared" ref="E264:E294" ca="1" si="57">IF(AE264=0,"",OFFSET(A_ArbeitsunfähigkeitGrund_Auswahl,(N_Sprache-1)*10+(AE264-1),0,1,1))</f>
        <v/>
      </c>
      <c r="F264" s="876"/>
      <c r="G264" s="667">
        <f ca="1">MAX(0,(N_ArbeitsstundenSollProKT*BU264-BV264)*OFFSET(BI264,0,AE264,1,1))</f>
        <v>0</v>
      </c>
      <c r="H264" s="667">
        <f t="shared" ref="H264:H294" ca="1" si="58">MAX(0,(N_ArbeitsstundenSollProKT*BU264-BV264)*(AE264&gt;2)*NOT(OFFSET(BI264,0,AE264,1,1)))</f>
        <v>0</v>
      </c>
      <c r="I264" s="667">
        <f t="shared" ref="I264:I294" ca="1" si="59">G264*OFFSET(CO264,0,AE264,1,1)</f>
        <v>0</v>
      </c>
      <c r="P264" s="151">
        <f t="shared" ref="P264:P294" si="60">IF(A264&lt;DATE(YEAR(A264),MONTH(N_Anstellung_Beginn),DAY(N_Anstellung_Beginn)),(YEAR(A264)-YEAR(N_Anstellung_Beginn)),(YEAR(A264)-YEAR(N_Anstellung_Beginn))+1)</f>
        <v>125</v>
      </c>
      <c r="R264" s="55">
        <f t="shared" ref="R264:R294" si="61">IF(A264&gt;=(P$1+P$2),1,0)</f>
        <v>0</v>
      </c>
      <c r="S264" s="55">
        <f t="shared" ref="S264:S294" si="62">1-R264</f>
        <v>1</v>
      </c>
      <c r="U264" s="226">
        <f t="shared" ref="U264:U294" si="63">(R264=0)*IF(A264&lt;N_Anstellung_Beginn,1,0)</f>
        <v>0</v>
      </c>
      <c r="V264" s="137">
        <f t="shared" ref="V264:V294" ca="1" si="64">(R264=0)*IF(A264&gt;N_Anstellung_Ende,1,0)</f>
        <v>0</v>
      </c>
      <c r="W264" s="137">
        <f t="shared" ref="W264:W294" si="65">(R264=0)*IF(OR(AND(A264&gt;=$I$203,A264&lt;=$I$204),AND(A264&gt;=$I$206,A264&lt;=$I$207),AND(A264&gt;=$I$209,A264&lt;=$I$210)),1,0)</f>
        <v>0</v>
      </c>
      <c r="X264" s="137">
        <f t="shared" ref="X264:X294" si="66">(R264=0)*IF(OR(AND(A264&gt;=$I$246,A264&lt;=$I$247),AND(A264&gt;=$I$249,A264&lt;=$I$250),AND(A264&gt;=$I$252,A264&lt;=$I$253)),1,0)</f>
        <v>0</v>
      </c>
      <c r="Y264" s="137">
        <f t="shared" ref="Y264:Y294" ca="1" si="67">(R264=0)*IF(OR(AND($A264&gt;=$I$214,$A264&lt;=$I$215,S$216=5),AND($A264&gt;=$I$224,$A264&lt;=$I$225,S$226=5),AND($A264&gt;=$I$234,$A264&lt;=$I$235,S$236=5)),1,0)</f>
        <v>0</v>
      </c>
      <c r="Z264" s="137">
        <f t="shared" ref="Z264:Z294" ca="1" si="68">(R264=0)*IF(OR(AND($A264&gt;=$I$214,$A264&lt;=$I$215,(S$216=6)*NOT(S$217)),AND($A264&gt;=$I$224,$A264&lt;=$I$225,(S$226=6)*NOT(S$227)),AND($A264&gt;=$I$234,$A264&lt;=$I$235,(S$236=6)*NOT(S$237))),1,0)</f>
        <v>0</v>
      </c>
      <c r="AA264" s="137">
        <f t="shared" ref="AA264:AA294" ca="1" si="69">(R264=0)*IF(OR(AND($A264&gt;=$I$214,$A264&lt;=$I$215,S$216=7),AND($A264&gt;=$I$224,$A264&lt;=$I$225,S$226=7),AND($A264&gt;=$I$234,$A264&lt;=$I$235,S$236=7)),1,0)</f>
        <v>0</v>
      </c>
      <c r="AB264" s="137">
        <f t="shared" ref="AB264:AB294" ca="1" si="70">(R264=0)*IF(OR(AND($A264&gt;=$I$214,$A264&lt;=$I$215,S$216=8),AND($A264&gt;=$I$224,$A264&lt;=$I$225,S$226=8),AND($A264&gt;=$I$234,$A264&lt;=$I$235,S$236=8)),1,0)</f>
        <v>0</v>
      </c>
      <c r="AC264" s="137">
        <f t="shared" ref="AC264:AC294" ca="1" si="71">(R264=0)*IF(OR(AND($A264&gt;=$I$214,$A264&lt;=$I$215,S$216=9),AND($A264&gt;=$I$224,$A264&lt;=$I$225,S$226=9),AND($A264&gt;=$I$234,$A264&lt;=$I$235,S$236=9)),1,0)</f>
        <v>0</v>
      </c>
      <c r="AD264" s="137">
        <f t="shared" ref="AD264:AD294" ca="1" si="72">(R264=0)*IF(OR(AND($A264&gt;=$I$214,$A264&lt;=$I$215,(S$216=6)*S$217),AND($A264&gt;=$I$224,$A264&lt;=$I$225,(S$226=6)*S$227),AND($A264&gt;=$I$234,$A264&lt;=$I$235,(S$236=6)*S$237)),1,0)</f>
        <v>0</v>
      </c>
      <c r="AE264" s="223">
        <f t="shared" ref="AE264:AE294" ca="1" si="73">IF(SUM(U264:V264)&gt;0,(U264*U$260+V264*V$260),IF(W264&gt;0,W264*W$260,IF(SUM(Y264:AD264)&gt;0,(Y264*Y$260+Z264*Z$260+AA264*AA$260+AB264*AB$260+AC264*AC$260+AD264*AD$260),IF(X264&gt;0,X264*X$260,0))))</f>
        <v>0</v>
      </c>
      <c r="AF264" s="229" t="str">
        <f t="shared" ref="AF264:AF294" ca="1" si="74">IF(AE264=0,"",OFFSET(A_ArbeitsunfähigkeitGrund_Auswahl,(N_Sprache-1)*10+(AE264-1),0,1,1))</f>
        <v/>
      </c>
      <c r="AH264" s="235">
        <f t="shared" ref="AH264:AH294" si="75">A264</f>
        <v>45474</v>
      </c>
      <c r="AI264" s="137">
        <f t="shared" ref="AI264:AI294" ca="1" si="76">IF((Y264+Z264)&gt;0,1,0)</f>
        <v>0</v>
      </c>
      <c r="AJ264" s="137">
        <f t="shared" ref="AJ264:AJ294" si="77">IF(AH264&lt;DATE(YEAR(N_Anstellung_Beginn),MONTH(N_Anstellung_Beginn)+N_Probezeit_Dauer_Mt,DAY(N_Anstellung_Beginn)),1,0)</f>
        <v>0</v>
      </c>
      <c r="AK264" s="137">
        <f t="shared" ref="AK264:AK294" ca="1" si="78">IF(R264=1,AK263,MAX(0,AK263+AJ264*AI264-IF(AND(AJ264=0,AJ263=0),1,0)))</f>
        <v>0</v>
      </c>
      <c r="AL264" s="137">
        <f t="shared" ref="AL264:AL294" ca="1" si="79">IF(AJ264=1,1,IF(AK264&gt;0,1,0))</f>
        <v>0</v>
      </c>
      <c r="AM264" s="137">
        <f t="shared" ref="AM264:AM294" si="80">(R264=0)*IF(AH264&gt;=N_Kündigungsfrist_Beginn,1,0)</f>
        <v>0</v>
      </c>
      <c r="AN264" s="137">
        <f t="shared" ref="AN264:AN294" ca="1" si="81">IF(AND(AL264=0,AM264=1,N_GekündigtVon_Auswahl=1),1,0)</f>
        <v>0</v>
      </c>
      <c r="AO264" s="137">
        <f t="shared" ref="AO264:AO294" ca="1" si="82">IF(OR(AN264-AN263=1,AN264*IF(VLOOKUP(AQ264,A_Rückfall_Auswahl,2,0)=1,1,0)=1),VLOOKUP(P264,A_Sperrfrist,2,1),0)</f>
        <v>0</v>
      </c>
      <c r="AP264" s="137">
        <f t="shared" ref="AP264:AP294" ca="1" si="83">IF(R264=1,AP263,MAX(0,IF(AN264=0,0,IF(AO264&gt;0,AO264-1,AP263-1))))</f>
        <v>0</v>
      </c>
      <c r="AQ264" s="137">
        <f t="shared" ref="AQ264:AQ294" si="84">IF(R264=0,IF(AH264=I$214,G$218,IF(AH264=I$224,G$228,IF(AH264=I$234,G$238,0))),0)</f>
        <v>0</v>
      </c>
      <c r="AR264" s="236">
        <f t="shared" ref="AR264:AR294" ca="1" si="85">IF(R264=1,AR263,AR263+IF(AND(AP264&gt;0,AH264&lt;=N_Kündigung),1,0)*AM264*(AI264))</f>
        <v>0</v>
      </c>
      <c r="AT264" s="241">
        <f t="shared" ref="AT264:AT294" ca="1" si="86">AT263-(AE264=3)</f>
        <v>28</v>
      </c>
      <c r="AV264" s="222">
        <f t="shared" ref="AV264:AV294" ca="1" si="87">IF(R264=1,AV263,(AE264=4)*(AV263+1))</f>
        <v>0</v>
      </c>
      <c r="AW264" s="247">
        <f t="shared" ref="AW264:AW294" si="88">A264-DATE(YEAR(A264),MONTH(A264)-N_LFP_324_Dauer_max,DAY(A264))</f>
        <v>91</v>
      </c>
      <c r="AY264" s="239">
        <f ca="1">(AE264=5)*('  B  '!F$110=1)*OR(AND(AND(A264&gt;=S$220,A264&gt;=I$214),AND(A264&lt;=S$221,A264&lt;=I$215)),AND(AND(A264&gt;=S$230,A264&gt;=I$224),AND(A264&lt;=S$231,A264&lt;=I$225)),AND(AND(A264&gt;=S$240,A264&gt;=I$234),AND(A264&lt;=S$241,A264&lt;=I$235)))</f>
        <v>0</v>
      </c>
      <c r="BA264" s="222">
        <f t="shared" ref="BA264:BA294" ca="1" si="89">IF(OR(AE264=5,AE264=8,AE264=10),1,0)</f>
        <v>0</v>
      </c>
      <c r="BB264" s="55">
        <f t="shared" ref="BB264:BB294" ca="1" si="90">BA264+IF(AND(MONTH(A264)=MONTH(N_Anstellung_Beginn),DAY(A264)=DAY(N_Anstellung_Beginn)),0,BB263)</f>
        <v>0</v>
      </c>
      <c r="BC264" s="247">
        <f t="shared" ref="BC264:BC294" si="91">IF(A264&gt;N_Anstellung_Beginn,IF(P264=1,VLOOKUP(P264,A_BernerSkala,2,0)*7,DATE(YEAR(A264),MONTH(A264)+VLOOKUP(MIN(20,P264),A_BernerSkala,2,0),DAY(A264))-A264),0)</f>
        <v>184</v>
      </c>
      <c r="BE264" s="239">
        <f t="shared" ref="BE264:BE294" ca="1" si="92">IF(R264=1,BE263,(AE264=6)*(BE263+1))</f>
        <v>0</v>
      </c>
      <c r="BG264" s="239">
        <f t="shared" ref="BG264:BG294" ca="1" si="93">IF(R264=1,BG263,(AE264=9)*(BG263+1))</f>
        <v>0</v>
      </c>
      <c r="BI264" s="222"/>
      <c r="BJ264" s="137">
        <v>0</v>
      </c>
      <c r="BK264" s="137">
        <v>0</v>
      </c>
      <c r="BL264" s="137">
        <f t="shared" ref="BL264:BL294" ca="1" si="94">IF(AND(N_LohnartAuswahl=2,N_Ferien_ArtAuszahlung_Auswahl=1),0,1)</f>
        <v>1</v>
      </c>
      <c r="BM264" s="137">
        <f t="shared" ref="BM264:BM294" ca="1" si="95">IF(AV264&lt;AW264,1,0)</f>
        <v>1</v>
      </c>
      <c r="BN264" s="137">
        <f ca="1">(A264&gt;=N_LFP_Startdatum)*IF('  B  '!F$110=1,NOT(OR(A264&gt;S$221,A264&gt;S$231,A264&gt;S$241)),IF(BB264&gt;BC264,0,1))</f>
        <v>1</v>
      </c>
      <c r="BO264" s="137">
        <f t="shared" ref="BO264:BO294" ca="1" si="96">IF(BE264&gt;(N_Wartefrist_Unfall+N_Unfalltaggeld_Dauer_max),0,1)</f>
        <v>1</v>
      </c>
      <c r="BP264" s="137">
        <v>0</v>
      </c>
      <c r="BQ264" s="137">
        <f t="shared" ref="BQ264:BQ294" ca="1" si="97">(A264&gt;=N_LFP_Startdatum)*IF(BB264&gt;BC264,0,1)</f>
        <v>1</v>
      </c>
      <c r="BR264" s="653">
        <v>0</v>
      </c>
      <c r="BS264" s="224">
        <f ca="1">(A264&gt;=N_LFP_Startdatum)*IF('  B  '!F$110=1,NOT(OR(A264&gt;S$221,A264&gt;S$231,A264&gt;S$241)),IF(BB264&gt;BC264,0,1))</f>
        <v>1</v>
      </c>
      <c r="BU264" s="562">
        <f t="shared" ref="BU264:BU294" ca="1" si="98">IF(AE264=0,0,IF(AND(A264&gt;=$I$214,A264&lt;=$I$215),$I$219,IF(AND(A264&gt;=$I$224,A264&lt;=$I$225),$I$229,IF(AND(A264&gt;=$I$234,A264&lt;=$I$235),$I$239,1))))</f>
        <v>0</v>
      </c>
      <c r="BV264" s="156">
        <f ca="1">(R264=0)*MAX(0,(B264+C264+IF(ISERROR(N_NachtStufe),0,D264*OFFSET(Vorgabewerte!E$10:E$14,N_NachtStufe,0,1,1)))-(1-BU264)*N_ArbeitsstundenSollProKT)</f>
        <v>0</v>
      </c>
      <c r="BW264" s="156"/>
      <c r="BX264" s="156">
        <f ca="1">(AE264=5)*('  B  '!F$110=1)*(1-'  B  '!F$113+(AY264*'  B  '!F$114))*(G264*IF(N_ArbeitsstundenSollProKT&gt;0,N_Monatslohn/(P$2*N_ArbeitsstundenSollProKT),0))</f>
        <v>0</v>
      </c>
      <c r="BY264" s="156">
        <f ca="1">((BE264&gt;0)*(1-'  B  '!F$105)+(BE264&gt;'  B  '!F$104)*'  B  '!F$106)*(G264*IF(N_ArbeitsstundenSollProKT&gt;0,N_Monatslohn/(P$2*N_ArbeitsstundenSollProKT),0))</f>
        <v>0</v>
      </c>
      <c r="BZ264" s="156">
        <f t="shared" ref="BZ264:BZ294" ca="1" si="99">H264*IF(N_ArbeitsstundenSollProKT&gt;0,N_Monatslohn/(P$2*N_ArbeitsstundenSollProKT),0)</f>
        <v>0</v>
      </c>
      <c r="CA264" s="156">
        <f t="shared" ref="CA264:CA294" ca="1" si="100">(R264=0)*SUM(BX264:BZ264)</f>
        <v>0</v>
      </c>
      <c r="CB264" s="156"/>
      <c r="CC264" s="156">
        <f ca="1">(AE264=5)*('  B  '!F$113-(AY264*'  B  '!F$114))*G264*CF$260</f>
        <v>0</v>
      </c>
      <c r="CD264" s="156">
        <f ca="1">((BE264&gt;0)*'  B  '!F$105-(BE264&gt;N_Wartefrist_Unfall)*'  B  '!F$106)*(G264*CF$260)</f>
        <v>0</v>
      </c>
      <c r="CE264" s="156">
        <f ca="1">OR(AE264&lt;5,AE264&gt;6)*G264*OFFSET(Vorgabewerte!C$56,AE264,0,1,1)*CF$260</f>
        <v>0</v>
      </c>
      <c r="CF264" s="156">
        <f t="shared" ref="CF264:CF294" ca="1" si="101">(R264=0)*SUM(CC264:CE264)</f>
        <v>0</v>
      </c>
      <c r="CH264" s="270">
        <f ca="1">(AY264=1)*'  B  '!F$114*G264*(N_BruttoStundenSatz_Monatslohn+CF$260)</f>
        <v>0</v>
      </c>
      <c r="CI264" s="270">
        <f ca="1">(BE264&gt;N_Wartefrist_Unfall)*'  B  '!F$106*G264*(N_BruttoStundenSatz_Monatslohn+CF$260)</f>
        <v>0</v>
      </c>
      <c r="CJ264" s="270">
        <f ca="1">IF(VLOOKUP('  B  '!C$65,A_JaNein_Auswahl,2,0)=1,(CH264+CI264)/12,0)</f>
        <v>0</v>
      </c>
      <c r="CK264" s="284">
        <f t="shared" ref="CK264:CK294" ca="1" si="102">AND(A264&gt;=I$214,A264&lt;=I$215)*SUM(CH264:CJ264)</f>
        <v>0</v>
      </c>
      <c r="CL264" s="270">
        <f t="shared" ref="CL264:CL294" ca="1" si="103">AND(A264&gt;=I$224,A264&lt;=I$225)*SUM(CH264:CJ264)</f>
        <v>0</v>
      </c>
      <c r="CM264" s="265">
        <f t="shared" ref="CM264:CM294" ca="1" si="104">AND(A264&gt;=I$234,A264&lt;=I$235)*SUM(CH264:CJ264)</f>
        <v>0</v>
      </c>
      <c r="CO264" s="222"/>
      <c r="CP264" s="137">
        <v>0</v>
      </c>
      <c r="CQ264" s="137">
        <v>0</v>
      </c>
      <c r="CR264" s="137">
        <v>0</v>
      </c>
      <c r="CS264" s="137">
        <f t="shared" ref="CS264:CS294" ca="1" si="105">(G264&gt;0)*IF(AV264&lt;=(A264-DATE(YEAR(A264),MONTH(A264)-N_LFP_324_RV_Dauer_max,DAY(A264))),1,0)</f>
        <v>0</v>
      </c>
      <c r="CT264" s="137">
        <f t="shared" ref="CT264:CT294" ca="1" si="106">(G264&gt;0)*IF(BB264&lt;=MIN(BC264,(A264-DATE(YEAR(A264),MONTH(A264)-N_LFP_324a_RV_Dauer_max,DAY(A264)))),1,0)</f>
        <v>0</v>
      </c>
      <c r="CU264" s="137">
        <f t="shared" ref="CU264:CU294" ca="1" si="107">(G264&gt;0)*1</f>
        <v>0</v>
      </c>
      <c r="CV264" s="137">
        <v>0</v>
      </c>
      <c r="CW264" s="137">
        <f t="shared" ref="CW264:CW294" ca="1" si="108">(G264&gt;0)*IF(BB264&lt;=MIN(BC264,(A264-DATE(YEAR(A264),MONTH(A264)-N_LFP_324a_RV_Dauer_max,DAY(A264)))),1,0)</f>
        <v>0</v>
      </c>
      <c r="CX264" s="137">
        <v>0</v>
      </c>
      <c r="CY264" s="224">
        <f t="shared" ref="CY264:CY294" ca="1" si="109">(G264&gt;0)*IF(BB264&lt;=MIN(BC264,(A264-DATE(YEAR(A264),MONTH(A264)-N_LFP_324a_RV_Dauer_max,DAY(A264)))),1,0)</f>
        <v>0</v>
      </c>
      <c r="DA264" s="260">
        <f ca="1">(AE264=4)*I264*OFFSET(Vorgabewerte!D$56,AE264,0,1,1)*DB$259</f>
        <v>0</v>
      </c>
      <c r="DB264" s="379">
        <f ca="1">(AE264=5)*IF('  B  '!F$110=1,IF(NOT(AY264=1),I264*'  B  '!F$113*MIN(DB$259,DB$260),I264*MAX(0,OFFSET(Vorgabewerte!D$56,AE264,0,1,1)-'  B  '!F$114)*MIN(DB$259,DB$260)),I264*OFFSET(Vorgabewerte!D$56,AE264,0,1,1)*MIN(DB$259,DB$260))</f>
        <v>0</v>
      </c>
      <c r="DC264" s="379">
        <f ca="1">(AE264=6)*IF(NOT(BE264&gt;N_Wartefrist_Unfall),I264*'  B  '!F$105*MIN(DB$259,DB$260),I264*MAX(0,OFFSET(Vorgabewerte!D$56,AE264,0,1,1)-'  B  '!F$106)*MIN(DB$259,DB$260))</f>
        <v>0</v>
      </c>
      <c r="DD264" s="255">
        <f ca="1">NOT(OR(AE264=4,AE264=5,AE264=6))*I264*OFFSET(Vorgabewerte!D$56,AE264,0,1,1)*MIN(DB$259,DB$260)</f>
        <v>0</v>
      </c>
      <c r="DE264" s="278">
        <f t="shared" ref="DE264:DE294" ca="1" si="110">AND(A264&gt;=I$214,A264&lt;=I$215)*SUM(DB264:DD264)</f>
        <v>0</v>
      </c>
      <c r="DF264" s="279">
        <f t="shared" ref="DF264:DF294" ca="1" si="111">AND(A264&gt;=I$224,A264&lt;=I$225)*SUM(DB264:DD264)</f>
        <v>0</v>
      </c>
      <c r="DG264" s="280">
        <f t="shared" ref="DG264:DG294" ca="1" si="112">AND(A264&gt;=I$234,A264&lt;=I$235)*SUM(DB264:DD264)</f>
        <v>0</v>
      </c>
      <c r="DI264" s="260">
        <f ca="1">(AE264=4)*I264*OFFSET(Vorgabewerte!D$56,AE264,0,1,1)*DJ$260</f>
        <v>0</v>
      </c>
      <c r="DJ264" s="379">
        <f ca="1">(AE264=5)*IF('  B  '!F$110=1,IF(NOT(AY264=1),I264*'  B  '!F$113*DJ$260,I264*MAX(0,OFFSET(Vorgabewerte!D$56,AE264,0,1,1)-'  B  '!F$114)*DJ$260),I264*OFFSET(Vorgabewerte!D$56,AE264,0,1,1)*DJ$260)</f>
        <v>0</v>
      </c>
      <c r="DK264" s="379">
        <f ca="1">(AE264=6)*IF(NOT(BE264&gt;N_Wartefrist_Unfall),I264*'  B  '!F$105*DJ$260,I264*MAX(0,OFFSET(Vorgabewerte!D$56,AE264,0,1,1)-'  B  '!F$106)*DJ$260)</f>
        <v>0</v>
      </c>
      <c r="DL264" s="255">
        <f ca="1">NOT(OR(AM264=4,AM264=5,AM264=6))*Q264*OFFSET(Vorgabewerte!L$56,AM264,0,1,1)*DJ$260</f>
        <v>0</v>
      </c>
      <c r="DM264" s="674">
        <f ca="1">AND(A264&gt;=I$214,A264&lt;=I$215)*SUM(DI264:DL264)</f>
        <v>0</v>
      </c>
      <c r="DN264" s="279">
        <f ca="1">AND(A264&gt;=I$224,A264&lt;=I$225)*SUM(DJ264:DL264)</f>
        <v>0</v>
      </c>
      <c r="DO264" s="279">
        <f ca="1">AND(A264&gt;=I$234,A264&lt;=I$235)*SUM(DB264:DD264)</f>
        <v>0</v>
      </c>
    </row>
    <row r="265" spans="1:119" x14ac:dyDescent="0.25">
      <c r="A265" s="153">
        <f t="shared" ref="A265:A294" si="113">A264+1</f>
        <v>45475</v>
      </c>
      <c r="B265" s="154"/>
      <c r="C265" s="154"/>
      <c r="D265" s="154"/>
      <c r="E265" s="875" t="str">
        <f t="shared" ca="1" si="57"/>
        <v/>
      </c>
      <c r="F265" s="876"/>
      <c r="G265" s="667">
        <f t="shared" ref="G265:G294" ca="1" si="114">MAX(0,(N_ArbeitsstundenSollProKT*BU265-BV265)*OFFSET(BI265,0,AE265,1,1))</f>
        <v>0</v>
      </c>
      <c r="H265" s="667">
        <f t="shared" ca="1" si="58"/>
        <v>0</v>
      </c>
      <c r="I265" s="667">
        <f t="shared" ca="1" si="59"/>
        <v>0</v>
      </c>
      <c r="P265" s="151">
        <f t="shared" si="60"/>
        <v>125</v>
      </c>
      <c r="R265" s="55">
        <f t="shared" si="61"/>
        <v>0</v>
      </c>
      <c r="S265" s="55">
        <f t="shared" si="62"/>
        <v>1</v>
      </c>
      <c r="U265" s="226">
        <f t="shared" si="63"/>
        <v>0</v>
      </c>
      <c r="V265" s="137">
        <f t="shared" ca="1" si="64"/>
        <v>0</v>
      </c>
      <c r="W265" s="137">
        <f t="shared" si="65"/>
        <v>0</v>
      </c>
      <c r="X265" s="137">
        <f t="shared" si="66"/>
        <v>0</v>
      </c>
      <c r="Y265" s="137">
        <f t="shared" ca="1" si="67"/>
        <v>0</v>
      </c>
      <c r="Z265" s="137">
        <f t="shared" ca="1" si="68"/>
        <v>0</v>
      </c>
      <c r="AA265" s="137">
        <f t="shared" ca="1" si="69"/>
        <v>0</v>
      </c>
      <c r="AB265" s="137">
        <f t="shared" ca="1" si="70"/>
        <v>0</v>
      </c>
      <c r="AC265" s="137">
        <f t="shared" ca="1" si="71"/>
        <v>0</v>
      </c>
      <c r="AD265" s="137">
        <f t="shared" ca="1" si="72"/>
        <v>0</v>
      </c>
      <c r="AE265" s="223">
        <f t="shared" ca="1" si="73"/>
        <v>0</v>
      </c>
      <c r="AF265" s="229" t="str">
        <f t="shared" ca="1" si="74"/>
        <v/>
      </c>
      <c r="AH265" s="235">
        <f t="shared" si="75"/>
        <v>45475</v>
      </c>
      <c r="AI265" s="137">
        <f t="shared" ca="1" si="76"/>
        <v>0</v>
      </c>
      <c r="AJ265" s="137">
        <f t="shared" si="77"/>
        <v>0</v>
      </c>
      <c r="AK265" s="137">
        <f t="shared" ca="1" si="78"/>
        <v>0</v>
      </c>
      <c r="AL265" s="137">
        <f t="shared" ca="1" si="79"/>
        <v>0</v>
      </c>
      <c r="AM265" s="137">
        <f t="shared" si="80"/>
        <v>0</v>
      </c>
      <c r="AN265" s="137">
        <f t="shared" ca="1" si="81"/>
        <v>0</v>
      </c>
      <c r="AO265" s="137">
        <f t="shared" ca="1" si="82"/>
        <v>0</v>
      </c>
      <c r="AP265" s="137">
        <f t="shared" ca="1" si="83"/>
        <v>0</v>
      </c>
      <c r="AQ265" s="137">
        <f t="shared" si="84"/>
        <v>0</v>
      </c>
      <c r="AR265" s="236">
        <f t="shared" ca="1" si="85"/>
        <v>0</v>
      </c>
      <c r="AT265" s="241">
        <f t="shared" ca="1" si="86"/>
        <v>28</v>
      </c>
      <c r="AV265" s="222">
        <f t="shared" ca="1" si="87"/>
        <v>0</v>
      </c>
      <c r="AW265" s="247">
        <f t="shared" si="88"/>
        <v>91</v>
      </c>
      <c r="AY265" s="239">
        <f ca="1">(AE265=5)*('  B  '!F$110=1)*OR(AND(AND(A265&gt;=S$220,A265&gt;=I$214),AND(A265&lt;=S$221,A265&lt;=I$215)),AND(AND(A265&gt;=S$230,A265&gt;=I$224),AND(A265&lt;=S$231,A265&lt;=I$225)),AND(AND(A265&gt;=S$240,A265&gt;=I$234),AND(A265&lt;=S$241,A265&lt;=I$235)))</f>
        <v>0</v>
      </c>
      <c r="BA265" s="222">
        <f t="shared" ca="1" si="89"/>
        <v>0</v>
      </c>
      <c r="BB265" s="55">
        <f t="shared" ca="1" si="90"/>
        <v>0</v>
      </c>
      <c r="BC265" s="247">
        <f t="shared" si="91"/>
        <v>184</v>
      </c>
      <c r="BE265" s="239">
        <f t="shared" ca="1" si="92"/>
        <v>0</v>
      </c>
      <c r="BG265" s="239">
        <f t="shared" ca="1" si="93"/>
        <v>0</v>
      </c>
      <c r="BI265" s="222"/>
      <c r="BJ265" s="137">
        <v>0</v>
      </c>
      <c r="BK265" s="137">
        <v>0</v>
      </c>
      <c r="BL265" s="137">
        <f t="shared" ca="1" si="94"/>
        <v>1</v>
      </c>
      <c r="BM265" s="137">
        <f t="shared" ca="1" si="95"/>
        <v>1</v>
      </c>
      <c r="BN265" s="137">
        <f ca="1">(A265&gt;=N_LFP_Startdatum)*IF('  B  '!F$110=1,NOT(OR(A265&gt;S$221,A265&gt;S$231,A265&gt;S$241)),IF(BB265&gt;BC265,0,1))</f>
        <v>1</v>
      </c>
      <c r="BO265" s="137">
        <f t="shared" ca="1" si="96"/>
        <v>1</v>
      </c>
      <c r="BP265" s="137">
        <v>0</v>
      </c>
      <c r="BQ265" s="137">
        <f t="shared" ca="1" si="97"/>
        <v>1</v>
      </c>
      <c r="BR265" s="653">
        <v>0</v>
      </c>
      <c r="BS265" s="224">
        <f ca="1">(A265&gt;=N_LFP_Startdatum)*IF('  B  '!F$110=1,NOT(OR(A265&gt;S$221,A265&gt;S$231,A265&gt;S$241)),IF(BB265&gt;BC265,0,1))</f>
        <v>1</v>
      </c>
      <c r="BU265" s="562">
        <f t="shared" ca="1" si="98"/>
        <v>0</v>
      </c>
      <c r="BV265" s="156">
        <f ca="1">(R265=0)*MAX(0,(B265+C265+IF(ISERROR(N_NachtStufe),0,D265*OFFSET(Vorgabewerte!E$10:E$14,N_NachtStufe,0,1,1)))-(1-BU265)*N_ArbeitsstundenSollProKT)</f>
        <v>0</v>
      </c>
      <c r="BW265" s="156"/>
      <c r="BX265" s="156">
        <f ca="1">(AE265=5)*('  B  '!F$110=1)*(1-'  B  '!F$113+(AY265*'  B  '!F$114))*(G265*IF(N_ArbeitsstundenSollProKT&gt;0,N_Monatslohn/(P$2*N_ArbeitsstundenSollProKT),0))</f>
        <v>0</v>
      </c>
      <c r="BY265" s="156">
        <f ca="1">((BE265&gt;0)*(1-'  B  '!F$105)+(BE265&gt;'  B  '!F$104)*'  B  '!F$106)*(G265*IF(N_ArbeitsstundenSollProKT&gt;0,N_Monatslohn/(P$2*N_ArbeitsstundenSollProKT),0))</f>
        <v>0</v>
      </c>
      <c r="BZ265" s="156">
        <f t="shared" ca="1" si="99"/>
        <v>0</v>
      </c>
      <c r="CA265" s="156">
        <f t="shared" ca="1" si="100"/>
        <v>0</v>
      </c>
      <c r="CB265" s="156"/>
      <c r="CC265" s="156">
        <f ca="1">(AE265=5)*('  B  '!F$113-(AY265*'  B  '!F$114))*G265*CF$260</f>
        <v>0</v>
      </c>
      <c r="CD265" s="156">
        <f ca="1">((BE265&gt;0)*'  B  '!F$105-(BE265&gt;N_Wartefrist_Unfall)*'  B  '!F$106)*(G265*CF$260)</f>
        <v>0</v>
      </c>
      <c r="CE265" s="156">
        <f ca="1">OR(AE265&lt;5,AE265&gt;6)*G265*OFFSET(Vorgabewerte!C$56,AE265,0,1,1)*CF$260</f>
        <v>0</v>
      </c>
      <c r="CF265" s="156">
        <f t="shared" ca="1" si="101"/>
        <v>0</v>
      </c>
      <c r="CH265" s="270">
        <f ca="1">(AY265=1)*'  B  '!F$114*G265*(N_BruttoStundenSatz_Monatslohn+CF$260)</f>
        <v>0</v>
      </c>
      <c r="CI265" s="270">
        <f ca="1">(BE265&gt;N_Wartefrist_Unfall)*'  B  '!F$106*G265*(N_BruttoStundenSatz_Monatslohn+CF$260)</f>
        <v>0</v>
      </c>
      <c r="CJ265" s="270">
        <f ca="1">IF(VLOOKUP('  B  '!C$65,A_JaNein_Auswahl,2,0)=1,(CH265+CI265)/12,0)</f>
        <v>0</v>
      </c>
      <c r="CK265" s="284">
        <f t="shared" ca="1" si="102"/>
        <v>0</v>
      </c>
      <c r="CL265" s="270">
        <f t="shared" ca="1" si="103"/>
        <v>0</v>
      </c>
      <c r="CM265" s="265">
        <f t="shared" ca="1" si="104"/>
        <v>0</v>
      </c>
      <c r="CO265" s="222"/>
      <c r="CP265" s="137">
        <v>0</v>
      </c>
      <c r="CQ265" s="137">
        <v>0</v>
      </c>
      <c r="CR265" s="137">
        <v>0</v>
      </c>
      <c r="CS265" s="137">
        <f t="shared" ca="1" si="105"/>
        <v>0</v>
      </c>
      <c r="CT265" s="137">
        <f t="shared" ca="1" si="106"/>
        <v>0</v>
      </c>
      <c r="CU265" s="137">
        <f t="shared" ca="1" si="107"/>
        <v>0</v>
      </c>
      <c r="CV265" s="137">
        <v>0</v>
      </c>
      <c r="CW265" s="137">
        <f t="shared" ca="1" si="108"/>
        <v>0</v>
      </c>
      <c r="CX265" s="137">
        <v>0</v>
      </c>
      <c r="CY265" s="224">
        <f t="shared" ca="1" si="109"/>
        <v>0</v>
      </c>
      <c r="DA265" s="260">
        <f ca="1">(AE265=4)*I265*OFFSET(Vorgabewerte!D$56,AE265,0,1,1)*DB$259</f>
        <v>0</v>
      </c>
      <c r="DB265" s="379">
        <f ca="1">(AE265=5)*IF('  B  '!F$110=1,IF(NOT(AY265=1),I265*'  B  '!F$113*MIN(DB$259,DB$260),I265*MAX(0,OFFSET(Vorgabewerte!D$56,AE265,0,1,1)-'  B  '!F$114)*MIN(DB$259,DB$260)),I265*OFFSET(Vorgabewerte!D$56,AE265,0,1,1)*MIN(DB$259,DB$260))</f>
        <v>0</v>
      </c>
      <c r="DC265" s="379">
        <f ca="1">(AE265=6)*IF(NOT(BE265&gt;N_Wartefrist_Unfall),I265*'  B  '!F$105*MIN(DB$259,DB$260),I265*MAX(0,OFFSET(Vorgabewerte!D$56,AE265,0,1,1)-'  B  '!F$106)*MIN(DB$259,DB$260))</f>
        <v>0</v>
      </c>
      <c r="DD265" s="255">
        <f ca="1">NOT(OR(AE265=4,AE265=5,AE265=6))*I265*OFFSET(Vorgabewerte!D$56,AE265,0,1,1)*MIN(DB$259,DB$260)</f>
        <v>0</v>
      </c>
      <c r="DE265" s="278">
        <f t="shared" ca="1" si="110"/>
        <v>0</v>
      </c>
      <c r="DF265" s="279">
        <f t="shared" ca="1" si="111"/>
        <v>0</v>
      </c>
      <c r="DG265" s="280">
        <f t="shared" ca="1" si="112"/>
        <v>0</v>
      </c>
      <c r="DI265" s="260">
        <f ca="1">(AE265=4)*I265*OFFSET(Vorgabewerte!D$56,AE265,0,1,1)*DJ$260</f>
        <v>0</v>
      </c>
      <c r="DJ265" s="379">
        <f ca="1">(AE265=5)*IF('  B  '!F$110=1,IF(NOT(AY265=1),I265*'  B  '!F$113*DJ$260,I265*MAX(0,OFFSET(Vorgabewerte!D$56,AE265,0,1,1)-'  B  '!F$114)*DJ$260),I265*OFFSET(Vorgabewerte!D$56,AE265,0,1,1)*DJ$260)</f>
        <v>0</v>
      </c>
      <c r="DK265" s="379">
        <f ca="1">(AE265=6)*IF(NOT(BE265&gt;N_Wartefrist_Unfall),I265*'  B  '!F$105*DJ$260,I265*MAX(0,OFFSET(Vorgabewerte!D$56,AE265,0,1,1)-'  B  '!F$106)*DJ$260)</f>
        <v>0</v>
      </c>
      <c r="DL265" s="255">
        <f ca="1">NOT(OR(AM265=4,AM265=5,AM265=6))*Q265*OFFSET(Vorgabewerte!L$56,AM265,0,1,1)*DJ$260</f>
        <v>0</v>
      </c>
      <c r="DM265" s="674">
        <f t="shared" ref="DM265:DM294" ca="1" si="115">AND(A265&gt;=I$214,A265&lt;=I$215)*SUM(DI265:DL265)</f>
        <v>0</v>
      </c>
      <c r="DN265" s="279">
        <f t="shared" ref="DN265:DN294" ca="1" si="116">AND(A265&gt;=I$224,A265&lt;=I$225)*SUM(DJ265:DL265)</f>
        <v>0</v>
      </c>
      <c r="DO265" s="279">
        <f t="shared" ref="DO265:DO294" ca="1" si="117">AND(A265&gt;=I$234,A265&lt;=I$235)*SUM(DB265:DD265)</f>
        <v>0</v>
      </c>
    </row>
    <row r="266" spans="1:119" x14ac:dyDescent="0.25">
      <c r="A266" s="153">
        <f t="shared" si="113"/>
        <v>45476</v>
      </c>
      <c r="B266" s="154"/>
      <c r="C266" s="154"/>
      <c r="D266" s="154"/>
      <c r="E266" s="875" t="str">
        <f t="shared" ca="1" si="57"/>
        <v/>
      </c>
      <c r="F266" s="876"/>
      <c r="G266" s="667">
        <f t="shared" ca="1" si="114"/>
        <v>0</v>
      </c>
      <c r="H266" s="667">
        <f t="shared" ca="1" si="58"/>
        <v>0</v>
      </c>
      <c r="I266" s="667">
        <f t="shared" ca="1" si="59"/>
        <v>0</v>
      </c>
      <c r="P266" s="151">
        <f t="shared" si="60"/>
        <v>125</v>
      </c>
      <c r="R266" s="55">
        <f t="shared" si="61"/>
        <v>0</v>
      </c>
      <c r="S266" s="55">
        <f t="shared" si="62"/>
        <v>1</v>
      </c>
      <c r="U266" s="226">
        <f t="shared" si="63"/>
        <v>0</v>
      </c>
      <c r="V266" s="137">
        <f t="shared" ca="1" si="64"/>
        <v>0</v>
      </c>
      <c r="W266" s="137">
        <f t="shared" si="65"/>
        <v>0</v>
      </c>
      <c r="X266" s="137">
        <f t="shared" si="66"/>
        <v>0</v>
      </c>
      <c r="Y266" s="137">
        <f t="shared" ca="1" si="67"/>
        <v>0</v>
      </c>
      <c r="Z266" s="137">
        <f t="shared" ca="1" si="68"/>
        <v>0</v>
      </c>
      <c r="AA266" s="137">
        <f t="shared" ca="1" si="69"/>
        <v>0</v>
      </c>
      <c r="AB266" s="137">
        <f t="shared" ca="1" si="70"/>
        <v>0</v>
      </c>
      <c r="AC266" s="137">
        <f t="shared" ca="1" si="71"/>
        <v>0</v>
      </c>
      <c r="AD266" s="137">
        <f t="shared" ca="1" si="72"/>
        <v>0</v>
      </c>
      <c r="AE266" s="223">
        <f t="shared" ca="1" si="73"/>
        <v>0</v>
      </c>
      <c r="AF266" s="229" t="str">
        <f t="shared" ca="1" si="74"/>
        <v/>
      </c>
      <c r="AH266" s="235">
        <f t="shared" si="75"/>
        <v>45476</v>
      </c>
      <c r="AI266" s="137">
        <f t="shared" ca="1" si="76"/>
        <v>0</v>
      </c>
      <c r="AJ266" s="137">
        <f t="shared" si="77"/>
        <v>0</v>
      </c>
      <c r="AK266" s="137">
        <f t="shared" ca="1" si="78"/>
        <v>0</v>
      </c>
      <c r="AL266" s="137">
        <f t="shared" ca="1" si="79"/>
        <v>0</v>
      </c>
      <c r="AM266" s="137">
        <f t="shared" si="80"/>
        <v>0</v>
      </c>
      <c r="AN266" s="137">
        <f t="shared" ca="1" si="81"/>
        <v>0</v>
      </c>
      <c r="AO266" s="137">
        <f t="shared" ca="1" si="82"/>
        <v>0</v>
      </c>
      <c r="AP266" s="137">
        <f t="shared" ca="1" si="83"/>
        <v>0</v>
      </c>
      <c r="AQ266" s="137">
        <f t="shared" si="84"/>
        <v>0</v>
      </c>
      <c r="AR266" s="236">
        <f t="shared" ca="1" si="85"/>
        <v>0</v>
      </c>
      <c r="AT266" s="241">
        <f t="shared" ca="1" si="86"/>
        <v>28</v>
      </c>
      <c r="AV266" s="222">
        <f t="shared" ca="1" si="87"/>
        <v>0</v>
      </c>
      <c r="AW266" s="247">
        <f t="shared" si="88"/>
        <v>91</v>
      </c>
      <c r="AY266" s="239">
        <f ca="1">(AE266=5)*('  B  '!F$110=1)*OR(AND(AND(A266&gt;=S$220,A266&gt;=I$214),AND(A266&lt;=S$221,A266&lt;=I$215)),AND(AND(A266&gt;=S$230,A266&gt;=I$224),AND(A266&lt;=S$231,A266&lt;=I$225)),AND(AND(A266&gt;=S$240,A266&gt;=I$234),AND(A266&lt;=S$241,A266&lt;=I$235)))</f>
        <v>0</v>
      </c>
      <c r="BA266" s="222">
        <f t="shared" ca="1" si="89"/>
        <v>0</v>
      </c>
      <c r="BB266" s="55">
        <f t="shared" ca="1" si="90"/>
        <v>0</v>
      </c>
      <c r="BC266" s="247">
        <f t="shared" si="91"/>
        <v>184</v>
      </c>
      <c r="BE266" s="239">
        <f t="shared" ca="1" si="92"/>
        <v>0</v>
      </c>
      <c r="BG266" s="239">
        <f t="shared" ca="1" si="93"/>
        <v>0</v>
      </c>
      <c r="BI266" s="222"/>
      <c r="BJ266" s="137">
        <v>0</v>
      </c>
      <c r="BK266" s="137">
        <v>0</v>
      </c>
      <c r="BL266" s="137">
        <f t="shared" ca="1" si="94"/>
        <v>1</v>
      </c>
      <c r="BM266" s="137">
        <f t="shared" ca="1" si="95"/>
        <v>1</v>
      </c>
      <c r="BN266" s="137">
        <f ca="1">(A266&gt;=N_LFP_Startdatum)*IF('  B  '!F$110=1,NOT(OR(A266&gt;S$221,A266&gt;S$231,A266&gt;S$241)),IF(BB266&gt;BC266,0,1))</f>
        <v>1</v>
      </c>
      <c r="BO266" s="137">
        <f t="shared" ca="1" si="96"/>
        <v>1</v>
      </c>
      <c r="BP266" s="137">
        <v>0</v>
      </c>
      <c r="BQ266" s="137">
        <f t="shared" ca="1" si="97"/>
        <v>1</v>
      </c>
      <c r="BR266" s="653">
        <v>0</v>
      </c>
      <c r="BS266" s="224">
        <f ca="1">(A266&gt;=N_LFP_Startdatum)*IF('  B  '!F$110=1,NOT(OR(A266&gt;S$221,A266&gt;S$231,A266&gt;S$241)),IF(BB266&gt;BC266,0,1))</f>
        <v>1</v>
      </c>
      <c r="BU266" s="562">
        <f t="shared" ca="1" si="98"/>
        <v>0</v>
      </c>
      <c r="BV266" s="156">
        <f ca="1">(R266=0)*MAX(0,(B266+C266+IF(ISERROR(N_NachtStufe),0,D266*OFFSET(Vorgabewerte!E$10:E$14,N_NachtStufe,0,1,1)))-(1-BU266)*N_ArbeitsstundenSollProKT)</f>
        <v>0</v>
      </c>
      <c r="BW266" s="156"/>
      <c r="BX266" s="156">
        <f ca="1">(AE266=5)*('  B  '!F$110=1)*(1-'  B  '!F$113+(AY266*'  B  '!F$114))*(G266*IF(N_ArbeitsstundenSollProKT&gt;0,N_Monatslohn/(P$2*N_ArbeitsstundenSollProKT),0))</f>
        <v>0</v>
      </c>
      <c r="BY266" s="156">
        <f ca="1">((BE266&gt;0)*(1-'  B  '!F$105)+(BE266&gt;'  B  '!F$104)*'  B  '!F$106)*(G266*IF(N_ArbeitsstundenSollProKT&gt;0,N_Monatslohn/(P$2*N_ArbeitsstundenSollProKT),0))</f>
        <v>0</v>
      </c>
      <c r="BZ266" s="156">
        <f t="shared" ca="1" si="99"/>
        <v>0</v>
      </c>
      <c r="CA266" s="156">
        <f t="shared" ca="1" si="100"/>
        <v>0</v>
      </c>
      <c r="CB266" s="156"/>
      <c r="CC266" s="156">
        <f ca="1">(AE266=5)*('  B  '!F$113-(AY266*'  B  '!F$114))*G266*CF$260</f>
        <v>0</v>
      </c>
      <c r="CD266" s="156">
        <f ca="1">((BE266&gt;0)*'  B  '!F$105-(BE266&gt;N_Wartefrist_Unfall)*'  B  '!F$106)*(G266*CF$260)</f>
        <v>0</v>
      </c>
      <c r="CE266" s="156">
        <f ca="1">OR(AE266&lt;5,AE266&gt;6)*G266*OFFSET(Vorgabewerte!C$56,AE266,0,1,1)*CF$260</f>
        <v>0</v>
      </c>
      <c r="CF266" s="156">
        <f t="shared" ca="1" si="101"/>
        <v>0</v>
      </c>
      <c r="CH266" s="270">
        <f ca="1">(AY266=1)*'  B  '!F$114*G266*(N_BruttoStundenSatz_Monatslohn+CF$260)</f>
        <v>0</v>
      </c>
      <c r="CI266" s="270">
        <f ca="1">(BE266&gt;N_Wartefrist_Unfall)*'  B  '!F$106*G266*(N_BruttoStundenSatz_Monatslohn+CF$260)</f>
        <v>0</v>
      </c>
      <c r="CJ266" s="270">
        <f ca="1">IF(VLOOKUP('  B  '!C$65,A_JaNein_Auswahl,2,0)=1,(CH266+CI266)/12,0)</f>
        <v>0</v>
      </c>
      <c r="CK266" s="284">
        <f t="shared" ca="1" si="102"/>
        <v>0</v>
      </c>
      <c r="CL266" s="270">
        <f t="shared" ca="1" si="103"/>
        <v>0</v>
      </c>
      <c r="CM266" s="265">
        <f t="shared" ca="1" si="104"/>
        <v>0</v>
      </c>
      <c r="CO266" s="222"/>
      <c r="CP266" s="137">
        <v>0</v>
      </c>
      <c r="CQ266" s="137">
        <v>0</v>
      </c>
      <c r="CR266" s="137">
        <v>0</v>
      </c>
      <c r="CS266" s="137">
        <f t="shared" ca="1" si="105"/>
        <v>0</v>
      </c>
      <c r="CT266" s="137">
        <f t="shared" ca="1" si="106"/>
        <v>0</v>
      </c>
      <c r="CU266" s="137">
        <f t="shared" ca="1" si="107"/>
        <v>0</v>
      </c>
      <c r="CV266" s="137">
        <v>0</v>
      </c>
      <c r="CW266" s="137">
        <f t="shared" ca="1" si="108"/>
        <v>0</v>
      </c>
      <c r="CX266" s="137">
        <v>0</v>
      </c>
      <c r="CY266" s="224">
        <f t="shared" ca="1" si="109"/>
        <v>0</v>
      </c>
      <c r="DA266" s="260">
        <f ca="1">(AE266=4)*I266*OFFSET(Vorgabewerte!D$56,AE266,0,1,1)*DB$259</f>
        <v>0</v>
      </c>
      <c r="DB266" s="379">
        <f ca="1">(AE266=5)*IF('  B  '!F$110=1,IF(NOT(AY266=1),I266*'  B  '!F$113*MIN(DB$259,DB$260),I266*MAX(0,OFFSET(Vorgabewerte!D$56,AE266,0,1,1)-'  B  '!F$114)*MIN(DB$259,DB$260)),I266*OFFSET(Vorgabewerte!D$56,AE266,0,1,1)*MIN(DB$259,DB$260))</f>
        <v>0</v>
      </c>
      <c r="DC266" s="379">
        <f ca="1">(AE266=6)*IF(NOT(BE266&gt;N_Wartefrist_Unfall),I266*'  B  '!F$105*MIN(DB$259,DB$260),I266*MAX(0,OFFSET(Vorgabewerte!D$56,AE266,0,1,1)-'  B  '!F$106)*MIN(DB$259,DB$260))</f>
        <v>0</v>
      </c>
      <c r="DD266" s="255">
        <f ca="1">NOT(OR(AE266=4,AE266=5,AE266=6))*I266*OFFSET(Vorgabewerte!D$56,AE266,0,1,1)*MIN(DB$259,DB$260)</f>
        <v>0</v>
      </c>
      <c r="DE266" s="278">
        <f t="shared" ca="1" si="110"/>
        <v>0</v>
      </c>
      <c r="DF266" s="279">
        <f t="shared" ca="1" si="111"/>
        <v>0</v>
      </c>
      <c r="DG266" s="280">
        <f t="shared" ca="1" si="112"/>
        <v>0</v>
      </c>
      <c r="DI266" s="260">
        <f ca="1">(AE266=4)*I266*OFFSET(Vorgabewerte!D$56,AE266,0,1,1)*DJ$260</f>
        <v>0</v>
      </c>
      <c r="DJ266" s="379">
        <f ca="1">(AE266=5)*IF('  B  '!F$110=1,IF(NOT(AY266=1),I266*'  B  '!F$113*DJ$260,I266*MAX(0,OFFSET(Vorgabewerte!D$56,AE266,0,1,1)-'  B  '!F$114)*DJ$260),I266*OFFSET(Vorgabewerte!D$56,AE266,0,1,1)*DJ$260)</f>
        <v>0</v>
      </c>
      <c r="DK266" s="379">
        <f ca="1">(AE266=6)*IF(NOT(BE266&gt;N_Wartefrist_Unfall),I266*'  B  '!F$105*DJ$260,I266*MAX(0,OFFSET(Vorgabewerte!D$56,AE266,0,1,1)-'  B  '!F$106)*DJ$260)</f>
        <v>0</v>
      </c>
      <c r="DL266" s="255">
        <f ca="1">NOT(OR(AM266=4,AM266=5,AM266=6))*Q266*OFFSET(Vorgabewerte!L$56,AM266,0,1,1)*DJ$260</f>
        <v>0</v>
      </c>
      <c r="DM266" s="674">
        <f t="shared" ca="1" si="115"/>
        <v>0</v>
      </c>
      <c r="DN266" s="279">
        <f t="shared" ca="1" si="116"/>
        <v>0</v>
      </c>
      <c r="DO266" s="279">
        <f t="shared" ca="1" si="117"/>
        <v>0</v>
      </c>
    </row>
    <row r="267" spans="1:119" x14ac:dyDescent="0.25">
      <c r="A267" s="153">
        <f t="shared" si="113"/>
        <v>45477</v>
      </c>
      <c r="B267" s="154"/>
      <c r="C267" s="154"/>
      <c r="D267" s="154"/>
      <c r="E267" s="875" t="str">
        <f t="shared" ca="1" si="57"/>
        <v/>
      </c>
      <c r="F267" s="876"/>
      <c r="G267" s="667">
        <f t="shared" ca="1" si="114"/>
        <v>0</v>
      </c>
      <c r="H267" s="667">
        <f t="shared" ca="1" si="58"/>
        <v>0</v>
      </c>
      <c r="I267" s="667">
        <f t="shared" ca="1" si="59"/>
        <v>0</v>
      </c>
      <c r="P267" s="151">
        <f t="shared" si="60"/>
        <v>125</v>
      </c>
      <c r="R267" s="55">
        <f t="shared" si="61"/>
        <v>0</v>
      </c>
      <c r="S267" s="55">
        <f t="shared" si="62"/>
        <v>1</v>
      </c>
      <c r="U267" s="226">
        <f t="shared" si="63"/>
        <v>0</v>
      </c>
      <c r="V267" s="137">
        <f t="shared" ca="1" si="64"/>
        <v>0</v>
      </c>
      <c r="W267" s="137">
        <f t="shared" si="65"/>
        <v>0</v>
      </c>
      <c r="X267" s="137">
        <f t="shared" si="66"/>
        <v>0</v>
      </c>
      <c r="Y267" s="137">
        <f t="shared" ca="1" si="67"/>
        <v>0</v>
      </c>
      <c r="Z267" s="137">
        <f t="shared" ca="1" si="68"/>
        <v>0</v>
      </c>
      <c r="AA267" s="137">
        <f t="shared" ca="1" si="69"/>
        <v>0</v>
      </c>
      <c r="AB267" s="137">
        <f t="shared" ca="1" si="70"/>
        <v>0</v>
      </c>
      <c r="AC267" s="137">
        <f t="shared" ca="1" si="71"/>
        <v>0</v>
      </c>
      <c r="AD267" s="137">
        <f t="shared" ca="1" si="72"/>
        <v>0</v>
      </c>
      <c r="AE267" s="223">
        <f t="shared" ca="1" si="73"/>
        <v>0</v>
      </c>
      <c r="AF267" s="229" t="str">
        <f t="shared" ca="1" si="74"/>
        <v/>
      </c>
      <c r="AH267" s="235">
        <f t="shared" si="75"/>
        <v>45477</v>
      </c>
      <c r="AI267" s="137">
        <f t="shared" ca="1" si="76"/>
        <v>0</v>
      </c>
      <c r="AJ267" s="137">
        <f t="shared" si="77"/>
        <v>0</v>
      </c>
      <c r="AK267" s="137">
        <f t="shared" ca="1" si="78"/>
        <v>0</v>
      </c>
      <c r="AL267" s="137">
        <f t="shared" ca="1" si="79"/>
        <v>0</v>
      </c>
      <c r="AM267" s="137">
        <f t="shared" si="80"/>
        <v>0</v>
      </c>
      <c r="AN267" s="137">
        <f t="shared" ca="1" si="81"/>
        <v>0</v>
      </c>
      <c r="AO267" s="137">
        <f t="shared" ca="1" si="82"/>
        <v>0</v>
      </c>
      <c r="AP267" s="137">
        <f t="shared" ca="1" si="83"/>
        <v>0</v>
      </c>
      <c r="AQ267" s="137">
        <f t="shared" si="84"/>
        <v>0</v>
      </c>
      <c r="AR267" s="236">
        <f t="shared" ca="1" si="85"/>
        <v>0</v>
      </c>
      <c r="AT267" s="241">
        <f t="shared" ca="1" si="86"/>
        <v>28</v>
      </c>
      <c r="AV267" s="222">
        <f t="shared" ca="1" si="87"/>
        <v>0</v>
      </c>
      <c r="AW267" s="247">
        <f t="shared" si="88"/>
        <v>91</v>
      </c>
      <c r="AY267" s="239">
        <f ca="1">(AE267=5)*('  B  '!F$110=1)*OR(AND(AND(A267&gt;=S$220,A267&gt;=I$214),AND(A267&lt;=S$221,A267&lt;=I$215)),AND(AND(A267&gt;=S$230,A267&gt;=I$224),AND(A267&lt;=S$231,A267&lt;=I$225)),AND(AND(A267&gt;=S$240,A267&gt;=I$234),AND(A267&lt;=S$241,A267&lt;=I$235)))</f>
        <v>0</v>
      </c>
      <c r="BA267" s="222">
        <f t="shared" ca="1" si="89"/>
        <v>0</v>
      </c>
      <c r="BB267" s="55">
        <f t="shared" ca="1" si="90"/>
        <v>0</v>
      </c>
      <c r="BC267" s="247">
        <f t="shared" si="91"/>
        <v>184</v>
      </c>
      <c r="BE267" s="239">
        <f t="shared" ca="1" si="92"/>
        <v>0</v>
      </c>
      <c r="BG267" s="239">
        <f t="shared" ca="1" si="93"/>
        <v>0</v>
      </c>
      <c r="BI267" s="222"/>
      <c r="BJ267" s="137">
        <v>0</v>
      </c>
      <c r="BK267" s="137">
        <v>0</v>
      </c>
      <c r="BL267" s="137">
        <f t="shared" ca="1" si="94"/>
        <v>1</v>
      </c>
      <c r="BM267" s="137">
        <f t="shared" ca="1" si="95"/>
        <v>1</v>
      </c>
      <c r="BN267" s="137">
        <f ca="1">(A267&gt;=N_LFP_Startdatum)*IF('  B  '!F$110=1,NOT(OR(A267&gt;S$221,A267&gt;S$231,A267&gt;S$241)),IF(BB267&gt;BC267,0,1))</f>
        <v>1</v>
      </c>
      <c r="BO267" s="137">
        <f t="shared" ca="1" si="96"/>
        <v>1</v>
      </c>
      <c r="BP267" s="137">
        <v>0</v>
      </c>
      <c r="BQ267" s="137">
        <f t="shared" ca="1" si="97"/>
        <v>1</v>
      </c>
      <c r="BR267" s="653">
        <v>0</v>
      </c>
      <c r="BS267" s="224">
        <f ca="1">(A267&gt;=N_LFP_Startdatum)*IF('  B  '!F$110=1,NOT(OR(A267&gt;S$221,A267&gt;S$231,A267&gt;S$241)),IF(BB267&gt;BC267,0,1))</f>
        <v>1</v>
      </c>
      <c r="BU267" s="562">
        <f t="shared" ca="1" si="98"/>
        <v>0</v>
      </c>
      <c r="BV267" s="156">
        <f ca="1">(R267=0)*MAX(0,(B267+C267+IF(ISERROR(N_NachtStufe),0,D267*OFFSET(Vorgabewerte!E$10:E$14,N_NachtStufe,0,1,1)))-(1-BU267)*N_ArbeitsstundenSollProKT)</f>
        <v>0</v>
      </c>
      <c r="BW267" s="156"/>
      <c r="BX267" s="156">
        <f ca="1">(AE267=5)*('  B  '!F$110=1)*(1-'  B  '!F$113+(AY267*'  B  '!F$114))*(G267*IF(N_ArbeitsstundenSollProKT&gt;0,N_Monatslohn/(P$2*N_ArbeitsstundenSollProKT),0))</f>
        <v>0</v>
      </c>
      <c r="BY267" s="156">
        <f ca="1">((BE267&gt;0)*(1-'  B  '!F$105)+(BE267&gt;'  B  '!F$104)*'  B  '!F$106)*(G267*IF(N_ArbeitsstundenSollProKT&gt;0,N_Monatslohn/(P$2*N_ArbeitsstundenSollProKT),0))</f>
        <v>0</v>
      </c>
      <c r="BZ267" s="156">
        <f t="shared" ca="1" si="99"/>
        <v>0</v>
      </c>
      <c r="CA267" s="156">
        <f t="shared" ca="1" si="100"/>
        <v>0</v>
      </c>
      <c r="CB267" s="156"/>
      <c r="CC267" s="156">
        <f ca="1">(AE267=5)*('  B  '!F$113-(AY267*'  B  '!F$114))*G267*CF$260</f>
        <v>0</v>
      </c>
      <c r="CD267" s="156">
        <f ca="1">((BE267&gt;0)*'  B  '!F$105-(BE267&gt;N_Wartefrist_Unfall)*'  B  '!F$106)*(G267*CF$260)</f>
        <v>0</v>
      </c>
      <c r="CE267" s="156">
        <f ca="1">OR(AE267&lt;5,AE267&gt;6)*G267*OFFSET(Vorgabewerte!C$56,AE267,0,1,1)*CF$260</f>
        <v>0</v>
      </c>
      <c r="CF267" s="156">
        <f t="shared" ca="1" si="101"/>
        <v>0</v>
      </c>
      <c r="CH267" s="270">
        <f ca="1">(AY267=1)*'  B  '!F$114*G267*(N_BruttoStundenSatz_Monatslohn+CF$260)</f>
        <v>0</v>
      </c>
      <c r="CI267" s="270">
        <f ca="1">(BE267&gt;N_Wartefrist_Unfall)*'  B  '!F$106*G267*(N_BruttoStundenSatz_Monatslohn+CF$260)</f>
        <v>0</v>
      </c>
      <c r="CJ267" s="270">
        <f ca="1">IF(VLOOKUP('  B  '!C$65,A_JaNein_Auswahl,2,0)=1,(CH267+CI267)/12,0)</f>
        <v>0</v>
      </c>
      <c r="CK267" s="284">
        <f t="shared" ca="1" si="102"/>
        <v>0</v>
      </c>
      <c r="CL267" s="270">
        <f t="shared" ca="1" si="103"/>
        <v>0</v>
      </c>
      <c r="CM267" s="265">
        <f t="shared" ca="1" si="104"/>
        <v>0</v>
      </c>
      <c r="CO267" s="222"/>
      <c r="CP267" s="137">
        <v>0</v>
      </c>
      <c r="CQ267" s="137">
        <v>0</v>
      </c>
      <c r="CR267" s="137">
        <v>0</v>
      </c>
      <c r="CS267" s="137">
        <f t="shared" ca="1" si="105"/>
        <v>0</v>
      </c>
      <c r="CT267" s="137">
        <f t="shared" ca="1" si="106"/>
        <v>0</v>
      </c>
      <c r="CU267" s="137">
        <f t="shared" ca="1" si="107"/>
        <v>0</v>
      </c>
      <c r="CV267" s="137">
        <v>0</v>
      </c>
      <c r="CW267" s="137">
        <f t="shared" ca="1" si="108"/>
        <v>0</v>
      </c>
      <c r="CX267" s="137">
        <v>0</v>
      </c>
      <c r="CY267" s="224">
        <f t="shared" ca="1" si="109"/>
        <v>0</v>
      </c>
      <c r="DA267" s="260">
        <f ca="1">(AE267=4)*I267*OFFSET(Vorgabewerte!D$56,AE267,0,1,1)*DB$259</f>
        <v>0</v>
      </c>
      <c r="DB267" s="379">
        <f ca="1">(AE267=5)*IF('  B  '!F$110=1,IF(NOT(AY267=1),I267*'  B  '!F$113*MIN(DB$259,DB$260),I267*MAX(0,OFFSET(Vorgabewerte!D$56,AE267,0,1,1)-'  B  '!F$114)*MIN(DB$259,DB$260)),I267*OFFSET(Vorgabewerte!D$56,AE267,0,1,1)*MIN(DB$259,DB$260))</f>
        <v>0</v>
      </c>
      <c r="DC267" s="379">
        <f ca="1">(AE267=6)*IF(NOT(BE267&gt;N_Wartefrist_Unfall),I267*'  B  '!F$105*MIN(DB$259,DB$260),I267*MAX(0,OFFSET(Vorgabewerte!D$56,AE267,0,1,1)-'  B  '!F$106)*MIN(DB$259,DB$260))</f>
        <v>0</v>
      </c>
      <c r="DD267" s="255">
        <f ca="1">NOT(OR(AE267=4,AE267=5,AE267=6))*I267*OFFSET(Vorgabewerte!D$56,AE267,0,1,1)*MIN(DB$259,DB$260)</f>
        <v>0</v>
      </c>
      <c r="DE267" s="278">
        <f t="shared" ca="1" si="110"/>
        <v>0</v>
      </c>
      <c r="DF267" s="279">
        <f t="shared" ca="1" si="111"/>
        <v>0</v>
      </c>
      <c r="DG267" s="280">
        <f t="shared" ca="1" si="112"/>
        <v>0</v>
      </c>
      <c r="DI267" s="260">
        <f ca="1">(AE267=4)*I267*OFFSET(Vorgabewerte!D$56,AE267,0,1,1)*DJ$260</f>
        <v>0</v>
      </c>
      <c r="DJ267" s="379">
        <f ca="1">(AE267=5)*IF('  B  '!F$110=1,IF(NOT(AY267=1),I267*'  B  '!F$113*DJ$260,I267*MAX(0,OFFSET(Vorgabewerte!D$56,AE267,0,1,1)-'  B  '!F$114)*DJ$260),I267*OFFSET(Vorgabewerte!D$56,AE267,0,1,1)*DJ$260)</f>
        <v>0</v>
      </c>
      <c r="DK267" s="379">
        <f ca="1">(AE267=6)*IF(NOT(BE267&gt;N_Wartefrist_Unfall),I267*'  B  '!F$105*DJ$260,I267*MAX(0,OFFSET(Vorgabewerte!D$56,AE267,0,1,1)-'  B  '!F$106)*DJ$260)</f>
        <v>0</v>
      </c>
      <c r="DL267" s="255">
        <f ca="1">NOT(OR(AM267=4,AM267=5,AM267=6))*Q267*OFFSET(Vorgabewerte!L$56,AM267,0,1,1)*DJ$260</f>
        <v>0</v>
      </c>
      <c r="DM267" s="674">
        <f t="shared" ca="1" si="115"/>
        <v>0</v>
      </c>
      <c r="DN267" s="279">
        <f t="shared" ca="1" si="116"/>
        <v>0</v>
      </c>
      <c r="DO267" s="279">
        <f t="shared" ca="1" si="117"/>
        <v>0</v>
      </c>
    </row>
    <row r="268" spans="1:119" x14ac:dyDescent="0.25">
      <c r="A268" s="153">
        <f t="shared" si="113"/>
        <v>45478</v>
      </c>
      <c r="B268" s="154"/>
      <c r="C268" s="154"/>
      <c r="D268" s="154"/>
      <c r="E268" s="875" t="str">
        <f t="shared" ca="1" si="57"/>
        <v/>
      </c>
      <c r="F268" s="876"/>
      <c r="G268" s="667">
        <f t="shared" ca="1" si="114"/>
        <v>0</v>
      </c>
      <c r="H268" s="667">
        <f t="shared" ca="1" si="58"/>
        <v>0</v>
      </c>
      <c r="I268" s="667">
        <f t="shared" ca="1" si="59"/>
        <v>0</v>
      </c>
      <c r="P268" s="151">
        <f t="shared" si="60"/>
        <v>125</v>
      </c>
      <c r="R268" s="55">
        <f t="shared" si="61"/>
        <v>0</v>
      </c>
      <c r="S268" s="55">
        <f t="shared" si="62"/>
        <v>1</v>
      </c>
      <c r="U268" s="226">
        <f t="shared" si="63"/>
        <v>0</v>
      </c>
      <c r="V268" s="137">
        <f t="shared" ca="1" si="64"/>
        <v>0</v>
      </c>
      <c r="W268" s="137">
        <f t="shared" si="65"/>
        <v>0</v>
      </c>
      <c r="X268" s="137">
        <f t="shared" si="66"/>
        <v>0</v>
      </c>
      <c r="Y268" s="137">
        <f t="shared" ca="1" si="67"/>
        <v>0</v>
      </c>
      <c r="Z268" s="137">
        <f t="shared" ca="1" si="68"/>
        <v>0</v>
      </c>
      <c r="AA268" s="137">
        <f t="shared" ca="1" si="69"/>
        <v>0</v>
      </c>
      <c r="AB268" s="137">
        <f t="shared" ca="1" si="70"/>
        <v>0</v>
      </c>
      <c r="AC268" s="137">
        <f t="shared" ca="1" si="71"/>
        <v>0</v>
      </c>
      <c r="AD268" s="137">
        <f t="shared" ca="1" si="72"/>
        <v>0</v>
      </c>
      <c r="AE268" s="223">
        <f t="shared" ca="1" si="73"/>
        <v>0</v>
      </c>
      <c r="AF268" s="229" t="str">
        <f t="shared" ca="1" si="74"/>
        <v/>
      </c>
      <c r="AH268" s="235">
        <f t="shared" si="75"/>
        <v>45478</v>
      </c>
      <c r="AI268" s="137">
        <f t="shared" ca="1" si="76"/>
        <v>0</v>
      </c>
      <c r="AJ268" s="137">
        <f t="shared" si="77"/>
        <v>0</v>
      </c>
      <c r="AK268" s="137">
        <f t="shared" ca="1" si="78"/>
        <v>0</v>
      </c>
      <c r="AL268" s="137">
        <f t="shared" ca="1" si="79"/>
        <v>0</v>
      </c>
      <c r="AM268" s="137">
        <f t="shared" si="80"/>
        <v>0</v>
      </c>
      <c r="AN268" s="137">
        <f t="shared" ca="1" si="81"/>
        <v>0</v>
      </c>
      <c r="AO268" s="137">
        <f t="shared" ca="1" si="82"/>
        <v>0</v>
      </c>
      <c r="AP268" s="137">
        <f t="shared" ca="1" si="83"/>
        <v>0</v>
      </c>
      <c r="AQ268" s="137">
        <f t="shared" si="84"/>
        <v>0</v>
      </c>
      <c r="AR268" s="236">
        <f t="shared" ca="1" si="85"/>
        <v>0</v>
      </c>
      <c r="AT268" s="241">
        <f t="shared" ca="1" si="86"/>
        <v>28</v>
      </c>
      <c r="AV268" s="222">
        <f t="shared" ca="1" si="87"/>
        <v>0</v>
      </c>
      <c r="AW268" s="247">
        <f t="shared" si="88"/>
        <v>91</v>
      </c>
      <c r="AY268" s="239">
        <f ca="1">(AE268=5)*('  B  '!F$110=1)*OR(AND(AND(A268&gt;=S$220,A268&gt;=I$214),AND(A268&lt;=S$221,A268&lt;=I$215)),AND(AND(A268&gt;=S$230,A268&gt;=I$224),AND(A268&lt;=S$231,A268&lt;=I$225)),AND(AND(A268&gt;=S$240,A268&gt;=I$234),AND(A268&lt;=S$241,A268&lt;=I$235)))</f>
        <v>0</v>
      </c>
      <c r="BA268" s="222">
        <f t="shared" ca="1" si="89"/>
        <v>0</v>
      </c>
      <c r="BB268" s="55">
        <f t="shared" ca="1" si="90"/>
        <v>0</v>
      </c>
      <c r="BC268" s="247">
        <f t="shared" si="91"/>
        <v>184</v>
      </c>
      <c r="BE268" s="239">
        <f t="shared" ca="1" si="92"/>
        <v>0</v>
      </c>
      <c r="BG268" s="239">
        <f t="shared" ca="1" si="93"/>
        <v>0</v>
      </c>
      <c r="BI268" s="222"/>
      <c r="BJ268" s="137">
        <v>0</v>
      </c>
      <c r="BK268" s="137">
        <v>0</v>
      </c>
      <c r="BL268" s="137">
        <f t="shared" ca="1" si="94"/>
        <v>1</v>
      </c>
      <c r="BM268" s="137">
        <f t="shared" ca="1" si="95"/>
        <v>1</v>
      </c>
      <c r="BN268" s="137">
        <f ca="1">(A268&gt;=N_LFP_Startdatum)*IF('  B  '!F$110=1,NOT(OR(A268&gt;S$221,A268&gt;S$231,A268&gt;S$241)),IF(BB268&gt;BC268,0,1))</f>
        <v>1</v>
      </c>
      <c r="BO268" s="137">
        <f t="shared" ca="1" si="96"/>
        <v>1</v>
      </c>
      <c r="BP268" s="137">
        <v>0</v>
      </c>
      <c r="BQ268" s="137">
        <f t="shared" ca="1" si="97"/>
        <v>1</v>
      </c>
      <c r="BR268" s="653">
        <v>0</v>
      </c>
      <c r="BS268" s="224">
        <f ca="1">(A268&gt;=N_LFP_Startdatum)*IF('  B  '!F$110=1,NOT(OR(A268&gt;S$221,A268&gt;S$231,A268&gt;S$241)),IF(BB268&gt;BC268,0,1))</f>
        <v>1</v>
      </c>
      <c r="BU268" s="562">
        <f t="shared" ca="1" si="98"/>
        <v>0</v>
      </c>
      <c r="BV268" s="156">
        <f ca="1">(R268=0)*MAX(0,(B268+C268+IF(ISERROR(N_NachtStufe),0,D268*OFFSET(Vorgabewerte!E$10:E$14,N_NachtStufe,0,1,1)))-(1-BU268)*N_ArbeitsstundenSollProKT)</f>
        <v>0</v>
      </c>
      <c r="BW268" s="156"/>
      <c r="BX268" s="156">
        <f ca="1">(AE268=5)*('  B  '!F$110=1)*(1-'  B  '!F$113+(AY268*'  B  '!F$114))*(G268*IF(N_ArbeitsstundenSollProKT&gt;0,N_Monatslohn/(P$2*N_ArbeitsstundenSollProKT),0))</f>
        <v>0</v>
      </c>
      <c r="BY268" s="156">
        <f ca="1">((BE268&gt;0)*(1-'  B  '!F$105)+(BE268&gt;'  B  '!F$104)*'  B  '!F$106)*(G268*IF(N_ArbeitsstundenSollProKT&gt;0,N_Monatslohn/(P$2*N_ArbeitsstundenSollProKT),0))</f>
        <v>0</v>
      </c>
      <c r="BZ268" s="156">
        <f t="shared" ca="1" si="99"/>
        <v>0</v>
      </c>
      <c r="CA268" s="156">
        <f t="shared" ca="1" si="100"/>
        <v>0</v>
      </c>
      <c r="CB268" s="156"/>
      <c r="CC268" s="156">
        <f ca="1">(AE268=5)*('  B  '!F$113-(AY268*'  B  '!F$114))*G268*CF$260</f>
        <v>0</v>
      </c>
      <c r="CD268" s="156">
        <f ca="1">((BE268&gt;0)*'  B  '!F$105-(BE268&gt;N_Wartefrist_Unfall)*'  B  '!F$106)*(G268*CF$260)</f>
        <v>0</v>
      </c>
      <c r="CE268" s="156">
        <f ca="1">OR(AE268&lt;5,AE268&gt;6)*G268*OFFSET(Vorgabewerte!C$56,AE268,0,1,1)*CF$260</f>
        <v>0</v>
      </c>
      <c r="CF268" s="156">
        <f t="shared" ca="1" si="101"/>
        <v>0</v>
      </c>
      <c r="CH268" s="270">
        <f ca="1">(AY268=1)*'  B  '!F$114*G268*(N_BruttoStundenSatz_Monatslohn+CF$260)</f>
        <v>0</v>
      </c>
      <c r="CI268" s="270">
        <f ca="1">(BE268&gt;N_Wartefrist_Unfall)*'  B  '!F$106*G268*(N_BruttoStundenSatz_Monatslohn+CF$260)</f>
        <v>0</v>
      </c>
      <c r="CJ268" s="270">
        <f ca="1">IF(VLOOKUP('  B  '!C$65,A_JaNein_Auswahl,2,0)=1,(CH268+CI268)/12,0)</f>
        <v>0</v>
      </c>
      <c r="CK268" s="284">
        <f t="shared" ca="1" si="102"/>
        <v>0</v>
      </c>
      <c r="CL268" s="270">
        <f t="shared" ca="1" si="103"/>
        <v>0</v>
      </c>
      <c r="CM268" s="265">
        <f t="shared" ca="1" si="104"/>
        <v>0</v>
      </c>
      <c r="CO268" s="222"/>
      <c r="CP268" s="137">
        <v>0</v>
      </c>
      <c r="CQ268" s="137">
        <v>0</v>
      </c>
      <c r="CR268" s="137">
        <v>0</v>
      </c>
      <c r="CS268" s="137">
        <f t="shared" ca="1" si="105"/>
        <v>0</v>
      </c>
      <c r="CT268" s="137">
        <f t="shared" ca="1" si="106"/>
        <v>0</v>
      </c>
      <c r="CU268" s="137">
        <f t="shared" ca="1" si="107"/>
        <v>0</v>
      </c>
      <c r="CV268" s="137">
        <v>0</v>
      </c>
      <c r="CW268" s="137">
        <f t="shared" ca="1" si="108"/>
        <v>0</v>
      </c>
      <c r="CX268" s="137">
        <v>0</v>
      </c>
      <c r="CY268" s="224">
        <f t="shared" ca="1" si="109"/>
        <v>0</v>
      </c>
      <c r="DA268" s="260">
        <f ca="1">(AE268=4)*I268*OFFSET(Vorgabewerte!D$56,AE268,0,1,1)*DB$259</f>
        <v>0</v>
      </c>
      <c r="DB268" s="379">
        <f ca="1">(AE268=5)*IF('  B  '!F$110=1,IF(NOT(AY268=1),I268*'  B  '!F$113*MIN(DB$259,DB$260),I268*MAX(0,OFFSET(Vorgabewerte!D$56,AE268,0,1,1)-'  B  '!F$114)*MIN(DB$259,DB$260)),I268*OFFSET(Vorgabewerte!D$56,AE268,0,1,1)*MIN(DB$259,DB$260))</f>
        <v>0</v>
      </c>
      <c r="DC268" s="379">
        <f ca="1">(AE268=6)*IF(NOT(BE268&gt;N_Wartefrist_Unfall),I268*'  B  '!F$105*MIN(DB$259,DB$260),I268*MAX(0,OFFSET(Vorgabewerte!D$56,AE268,0,1,1)-'  B  '!F$106)*MIN(DB$259,DB$260))</f>
        <v>0</v>
      </c>
      <c r="DD268" s="255">
        <f ca="1">NOT(OR(AE268=4,AE268=5,AE268=6))*I268*OFFSET(Vorgabewerte!D$56,AE268,0,1,1)*MIN(DB$259,DB$260)</f>
        <v>0</v>
      </c>
      <c r="DE268" s="278">
        <f t="shared" ca="1" si="110"/>
        <v>0</v>
      </c>
      <c r="DF268" s="279">
        <f t="shared" ca="1" si="111"/>
        <v>0</v>
      </c>
      <c r="DG268" s="280">
        <f t="shared" ca="1" si="112"/>
        <v>0</v>
      </c>
      <c r="DI268" s="260">
        <f ca="1">(AE268=4)*I268*OFFSET(Vorgabewerte!D$56,AE268,0,1,1)*DJ$260</f>
        <v>0</v>
      </c>
      <c r="DJ268" s="379">
        <f ca="1">(AE268=5)*IF('  B  '!F$110=1,IF(NOT(AY268=1),I268*'  B  '!F$113*DJ$260,I268*MAX(0,OFFSET(Vorgabewerte!D$56,AE268,0,1,1)-'  B  '!F$114)*DJ$260),I268*OFFSET(Vorgabewerte!D$56,AE268,0,1,1)*DJ$260)</f>
        <v>0</v>
      </c>
      <c r="DK268" s="379">
        <f ca="1">(AE268=6)*IF(NOT(BE268&gt;N_Wartefrist_Unfall),I268*'  B  '!F$105*DJ$260,I268*MAX(0,OFFSET(Vorgabewerte!D$56,AE268,0,1,1)-'  B  '!F$106)*DJ$260)</f>
        <v>0</v>
      </c>
      <c r="DL268" s="255">
        <f ca="1">NOT(OR(AM268=4,AM268=5,AM268=6))*Q268*OFFSET(Vorgabewerte!L$56,AM268,0,1,1)*DJ$260</f>
        <v>0</v>
      </c>
      <c r="DM268" s="674">
        <f t="shared" ca="1" si="115"/>
        <v>0</v>
      </c>
      <c r="DN268" s="279">
        <f t="shared" ca="1" si="116"/>
        <v>0</v>
      </c>
      <c r="DO268" s="279">
        <f t="shared" ca="1" si="117"/>
        <v>0</v>
      </c>
    </row>
    <row r="269" spans="1:119" x14ac:dyDescent="0.25">
      <c r="A269" s="153">
        <f t="shared" si="113"/>
        <v>45479</v>
      </c>
      <c r="B269" s="154"/>
      <c r="C269" s="154"/>
      <c r="D269" s="154"/>
      <c r="E269" s="875" t="str">
        <f t="shared" ca="1" si="57"/>
        <v/>
      </c>
      <c r="F269" s="876"/>
      <c r="G269" s="667">
        <f t="shared" ca="1" si="114"/>
        <v>0</v>
      </c>
      <c r="H269" s="667">
        <f t="shared" ca="1" si="58"/>
        <v>0</v>
      </c>
      <c r="I269" s="667">
        <f t="shared" ca="1" si="59"/>
        <v>0</v>
      </c>
      <c r="P269" s="151">
        <f t="shared" si="60"/>
        <v>125</v>
      </c>
      <c r="R269" s="55">
        <f t="shared" si="61"/>
        <v>0</v>
      </c>
      <c r="S269" s="55">
        <f t="shared" si="62"/>
        <v>1</v>
      </c>
      <c r="U269" s="226">
        <f t="shared" si="63"/>
        <v>0</v>
      </c>
      <c r="V269" s="137">
        <f t="shared" ca="1" si="64"/>
        <v>0</v>
      </c>
      <c r="W269" s="137">
        <f t="shared" si="65"/>
        <v>0</v>
      </c>
      <c r="X269" s="137">
        <f t="shared" si="66"/>
        <v>0</v>
      </c>
      <c r="Y269" s="137">
        <f t="shared" ca="1" si="67"/>
        <v>0</v>
      </c>
      <c r="Z269" s="137">
        <f t="shared" ca="1" si="68"/>
        <v>0</v>
      </c>
      <c r="AA269" s="137">
        <f t="shared" ca="1" si="69"/>
        <v>0</v>
      </c>
      <c r="AB269" s="137">
        <f t="shared" ca="1" si="70"/>
        <v>0</v>
      </c>
      <c r="AC269" s="137">
        <f t="shared" ca="1" si="71"/>
        <v>0</v>
      </c>
      <c r="AD269" s="137">
        <f t="shared" ca="1" si="72"/>
        <v>0</v>
      </c>
      <c r="AE269" s="223">
        <f t="shared" ca="1" si="73"/>
        <v>0</v>
      </c>
      <c r="AF269" s="229" t="str">
        <f t="shared" ca="1" si="74"/>
        <v/>
      </c>
      <c r="AH269" s="235">
        <f t="shared" si="75"/>
        <v>45479</v>
      </c>
      <c r="AI269" s="137">
        <f t="shared" ca="1" si="76"/>
        <v>0</v>
      </c>
      <c r="AJ269" s="137">
        <f t="shared" si="77"/>
        <v>0</v>
      </c>
      <c r="AK269" s="137">
        <f t="shared" ca="1" si="78"/>
        <v>0</v>
      </c>
      <c r="AL269" s="137">
        <f t="shared" ca="1" si="79"/>
        <v>0</v>
      </c>
      <c r="AM269" s="137">
        <f t="shared" si="80"/>
        <v>0</v>
      </c>
      <c r="AN269" s="137">
        <f t="shared" ca="1" si="81"/>
        <v>0</v>
      </c>
      <c r="AO269" s="137">
        <f t="shared" ca="1" si="82"/>
        <v>0</v>
      </c>
      <c r="AP269" s="137">
        <f t="shared" ca="1" si="83"/>
        <v>0</v>
      </c>
      <c r="AQ269" s="137">
        <f t="shared" si="84"/>
        <v>0</v>
      </c>
      <c r="AR269" s="236">
        <f t="shared" ca="1" si="85"/>
        <v>0</v>
      </c>
      <c r="AT269" s="241">
        <f t="shared" ca="1" si="86"/>
        <v>28</v>
      </c>
      <c r="AV269" s="222">
        <f t="shared" ca="1" si="87"/>
        <v>0</v>
      </c>
      <c r="AW269" s="247">
        <f t="shared" si="88"/>
        <v>91</v>
      </c>
      <c r="AY269" s="239">
        <f ca="1">(AE269=5)*('  B  '!F$110=1)*OR(AND(AND(A269&gt;=S$220,A269&gt;=I$214),AND(A269&lt;=S$221,A269&lt;=I$215)),AND(AND(A269&gt;=S$230,A269&gt;=I$224),AND(A269&lt;=S$231,A269&lt;=I$225)),AND(AND(A269&gt;=S$240,A269&gt;=I$234),AND(A269&lt;=S$241,A269&lt;=I$235)))</f>
        <v>0</v>
      </c>
      <c r="BA269" s="222">
        <f t="shared" ca="1" si="89"/>
        <v>0</v>
      </c>
      <c r="BB269" s="55">
        <f t="shared" ca="1" si="90"/>
        <v>0</v>
      </c>
      <c r="BC269" s="247">
        <f t="shared" si="91"/>
        <v>184</v>
      </c>
      <c r="BE269" s="239">
        <f t="shared" ca="1" si="92"/>
        <v>0</v>
      </c>
      <c r="BG269" s="239">
        <f t="shared" ca="1" si="93"/>
        <v>0</v>
      </c>
      <c r="BI269" s="222"/>
      <c r="BJ269" s="137">
        <v>0</v>
      </c>
      <c r="BK269" s="137">
        <v>0</v>
      </c>
      <c r="BL269" s="137">
        <f t="shared" ca="1" si="94"/>
        <v>1</v>
      </c>
      <c r="BM269" s="137">
        <f t="shared" ca="1" si="95"/>
        <v>1</v>
      </c>
      <c r="BN269" s="137">
        <f ca="1">(A269&gt;=N_LFP_Startdatum)*IF('  B  '!F$110=1,NOT(OR(A269&gt;S$221,A269&gt;S$231,A269&gt;S$241)),IF(BB269&gt;BC269,0,1))</f>
        <v>1</v>
      </c>
      <c r="BO269" s="137">
        <f t="shared" ca="1" si="96"/>
        <v>1</v>
      </c>
      <c r="BP269" s="137">
        <v>0</v>
      </c>
      <c r="BQ269" s="137">
        <f t="shared" ca="1" si="97"/>
        <v>1</v>
      </c>
      <c r="BR269" s="653">
        <v>0</v>
      </c>
      <c r="BS269" s="224">
        <f ca="1">(A269&gt;=N_LFP_Startdatum)*IF('  B  '!F$110=1,NOT(OR(A269&gt;S$221,A269&gt;S$231,A269&gt;S$241)),IF(BB269&gt;BC269,0,1))</f>
        <v>1</v>
      </c>
      <c r="BU269" s="562">
        <f t="shared" ca="1" si="98"/>
        <v>0</v>
      </c>
      <c r="BV269" s="156">
        <f ca="1">(R269=0)*MAX(0,(B269+C269+IF(ISERROR(N_NachtStufe),0,D269*OFFSET(Vorgabewerte!E$10:E$14,N_NachtStufe,0,1,1)))-(1-BU269)*N_ArbeitsstundenSollProKT)</f>
        <v>0</v>
      </c>
      <c r="BW269" s="156"/>
      <c r="BX269" s="156">
        <f ca="1">(AE269=5)*('  B  '!F$110=1)*(1-'  B  '!F$113+(AY269*'  B  '!F$114))*(G269*IF(N_ArbeitsstundenSollProKT&gt;0,N_Monatslohn/(P$2*N_ArbeitsstundenSollProKT),0))</f>
        <v>0</v>
      </c>
      <c r="BY269" s="156">
        <f ca="1">((BE269&gt;0)*(1-'  B  '!F$105)+(BE269&gt;'  B  '!F$104)*'  B  '!F$106)*(G269*IF(N_ArbeitsstundenSollProKT&gt;0,N_Monatslohn/(P$2*N_ArbeitsstundenSollProKT),0))</f>
        <v>0</v>
      </c>
      <c r="BZ269" s="156">
        <f t="shared" ca="1" si="99"/>
        <v>0</v>
      </c>
      <c r="CA269" s="156">
        <f t="shared" ca="1" si="100"/>
        <v>0</v>
      </c>
      <c r="CB269" s="156"/>
      <c r="CC269" s="156">
        <f ca="1">(AE269=5)*('  B  '!F$113-(AY269*'  B  '!F$114))*G269*CF$260</f>
        <v>0</v>
      </c>
      <c r="CD269" s="156">
        <f ca="1">((BE269&gt;0)*'  B  '!F$105-(BE269&gt;N_Wartefrist_Unfall)*'  B  '!F$106)*(G269*CF$260)</f>
        <v>0</v>
      </c>
      <c r="CE269" s="156">
        <f ca="1">OR(AE269&lt;5,AE269&gt;6)*G269*OFFSET(Vorgabewerte!C$56,AE269,0,1,1)*CF$260</f>
        <v>0</v>
      </c>
      <c r="CF269" s="156">
        <f t="shared" ca="1" si="101"/>
        <v>0</v>
      </c>
      <c r="CH269" s="270">
        <f ca="1">(AY269=1)*'  B  '!F$114*G269*(N_BruttoStundenSatz_Monatslohn+CF$260)</f>
        <v>0</v>
      </c>
      <c r="CI269" s="270">
        <f ca="1">(BE269&gt;N_Wartefrist_Unfall)*'  B  '!F$106*G269*(N_BruttoStundenSatz_Monatslohn+CF$260)</f>
        <v>0</v>
      </c>
      <c r="CJ269" s="270">
        <f ca="1">IF(VLOOKUP('  B  '!C$65,A_JaNein_Auswahl,2,0)=1,(CH269+CI269)/12,0)</f>
        <v>0</v>
      </c>
      <c r="CK269" s="284">
        <f t="shared" ca="1" si="102"/>
        <v>0</v>
      </c>
      <c r="CL269" s="270">
        <f t="shared" ca="1" si="103"/>
        <v>0</v>
      </c>
      <c r="CM269" s="265">
        <f t="shared" ca="1" si="104"/>
        <v>0</v>
      </c>
      <c r="CO269" s="222"/>
      <c r="CP269" s="137">
        <v>0</v>
      </c>
      <c r="CQ269" s="137">
        <v>0</v>
      </c>
      <c r="CR269" s="137">
        <v>0</v>
      </c>
      <c r="CS269" s="137">
        <f t="shared" ca="1" si="105"/>
        <v>0</v>
      </c>
      <c r="CT269" s="137">
        <f t="shared" ca="1" si="106"/>
        <v>0</v>
      </c>
      <c r="CU269" s="137">
        <f t="shared" ca="1" si="107"/>
        <v>0</v>
      </c>
      <c r="CV269" s="137">
        <v>0</v>
      </c>
      <c r="CW269" s="137">
        <f t="shared" ca="1" si="108"/>
        <v>0</v>
      </c>
      <c r="CX269" s="137">
        <v>0</v>
      </c>
      <c r="CY269" s="224">
        <f t="shared" ca="1" si="109"/>
        <v>0</v>
      </c>
      <c r="DA269" s="260">
        <f ca="1">(AE269=4)*I269*OFFSET(Vorgabewerte!D$56,AE269,0,1,1)*DB$259</f>
        <v>0</v>
      </c>
      <c r="DB269" s="379">
        <f ca="1">(AE269=5)*IF('  B  '!F$110=1,IF(NOT(AY269=1),I269*'  B  '!F$113*MIN(DB$259,DB$260),I269*MAX(0,OFFSET(Vorgabewerte!D$56,AE269,0,1,1)-'  B  '!F$114)*MIN(DB$259,DB$260)),I269*OFFSET(Vorgabewerte!D$56,AE269,0,1,1)*MIN(DB$259,DB$260))</f>
        <v>0</v>
      </c>
      <c r="DC269" s="379">
        <f ca="1">(AE269=6)*IF(NOT(BE269&gt;N_Wartefrist_Unfall),I269*'  B  '!F$105*MIN(DB$259,DB$260),I269*MAX(0,OFFSET(Vorgabewerte!D$56,AE269,0,1,1)-'  B  '!F$106)*MIN(DB$259,DB$260))</f>
        <v>0</v>
      </c>
      <c r="DD269" s="255">
        <f ca="1">NOT(OR(AE269=4,AE269=5,AE269=6))*I269*OFFSET(Vorgabewerte!D$56,AE269,0,1,1)*MIN(DB$259,DB$260)</f>
        <v>0</v>
      </c>
      <c r="DE269" s="278">
        <f t="shared" ca="1" si="110"/>
        <v>0</v>
      </c>
      <c r="DF269" s="279">
        <f t="shared" ca="1" si="111"/>
        <v>0</v>
      </c>
      <c r="DG269" s="280">
        <f t="shared" ca="1" si="112"/>
        <v>0</v>
      </c>
      <c r="DI269" s="260">
        <f ca="1">(AE269=4)*I269*OFFSET(Vorgabewerte!D$56,AE269,0,1,1)*DJ$260</f>
        <v>0</v>
      </c>
      <c r="DJ269" s="379">
        <f ca="1">(AE269=5)*IF('  B  '!F$110=1,IF(NOT(AY269=1),I269*'  B  '!F$113*DJ$260,I269*MAX(0,OFFSET(Vorgabewerte!D$56,AE269,0,1,1)-'  B  '!F$114)*DJ$260),I269*OFFSET(Vorgabewerte!D$56,AE269,0,1,1)*DJ$260)</f>
        <v>0</v>
      </c>
      <c r="DK269" s="379">
        <f ca="1">(AE269=6)*IF(NOT(BE269&gt;N_Wartefrist_Unfall),I269*'  B  '!F$105*DJ$260,I269*MAX(0,OFFSET(Vorgabewerte!D$56,AE269,0,1,1)-'  B  '!F$106)*DJ$260)</f>
        <v>0</v>
      </c>
      <c r="DL269" s="255">
        <f ca="1">NOT(OR(AM269=4,AM269=5,AM269=6))*Q269*OFFSET(Vorgabewerte!L$56,AM269,0,1,1)*DJ$260</f>
        <v>0</v>
      </c>
      <c r="DM269" s="674">
        <f t="shared" ca="1" si="115"/>
        <v>0</v>
      </c>
      <c r="DN269" s="279">
        <f t="shared" ca="1" si="116"/>
        <v>0</v>
      </c>
      <c r="DO269" s="279">
        <f t="shared" ca="1" si="117"/>
        <v>0</v>
      </c>
    </row>
    <row r="270" spans="1:119" x14ac:dyDescent="0.25">
      <c r="A270" s="153">
        <f t="shared" si="113"/>
        <v>45480</v>
      </c>
      <c r="B270" s="154"/>
      <c r="C270" s="154"/>
      <c r="D270" s="154"/>
      <c r="E270" s="875" t="str">
        <f t="shared" ca="1" si="57"/>
        <v/>
      </c>
      <c r="F270" s="876"/>
      <c r="G270" s="667">
        <f t="shared" ca="1" si="114"/>
        <v>0</v>
      </c>
      <c r="H270" s="667">
        <f t="shared" ca="1" si="58"/>
        <v>0</v>
      </c>
      <c r="I270" s="667">
        <f t="shared" ca="1" si="59"/>
        <v>0</v>
      </c>
      <c r="P270" s="151">
        <f t="shared" si="60"/>
        <v>125</v>
      </c>
      <c r="R270" s="55">
        <f t="shared" si="61"/>
        <v>0</v>
      </c>
      <c r="S270" s="55">
        <f t="shared" si="62"/>
        <v>1</v>
      </c>
      <c r="U270" s="226">
        <f t="shared" si="63"/>
        <v>0</v>
      </c>
      <c r="V270" s="137">
        <f t="shared" ca="1" si="64"/>
        <v>0</v>
      </c>
      <c r="W270" s="137">
        <f t="shared" si="65"/>
        <v>0</v>
      </c>
      <c r="X270" s="137">
        <f t="shared" si="66"/>
        <v>0</v>
      </c>
      <c r="Y270" s="137">
        <f t="shared" ca="1" si="67"/>
        <v>0</v>
      </c>
      <c r="Z270" s="137">
        <f t="shared" ca="1" si="68"/>
        <v>0</v>
      </c>
      <c r="AA270" s="137">
        <f t="shared" ca="1" si="69"/>
        <v>0</v>
      </c>
      <c r="AB270" s="137">
        <f t="shared" ca="1" si="70"/>
        <v>0</v>
      </c>
      <c r="AC270" s="137">
        <f t="shared" ca="1" si="71"/>
        <v>0</v>
      </c>
      <c r="AD270" s="137">
        <f t="shared" ca="1" si="72"/>
        <v>0</v>
      </c>
      <c r="AE270" s="223">
        <f t="shared" ca="1" si="73"/>
        <v>0</v>
      </c>
      <c r="AF270" s="229" t="str">
        <f t="shared" ca="1" si="74"/>
        <v/>
      </c>
      <c r="AH270" s="235">
        <f t="shared" si="75"/>
        <v>45480</v>
      </c>
      <c r="AI270" s="137">
        <f t="shared" ca="1" si="76"/>
        <v>0</v>
      </c>
      <c r="AJ270" s="137">
        <f t="shared" si="77"/>
        <v>0</v>
      </c>
      <c r="AK270" s="137">
        <f t="shared" ca="1" si="78"/>
        <v>0</v>
      </c>
      <c r="AL270" s="137">
        <f t="shared" ca="1" si="79"/>
        <v>0</v>
      </c>
      <c r="AM270" s="137">
        <f t="shared" si="80"/>
        <v>0</v>
      </c>
      <c r="AN270" s="137">
        <f t="shared" ca="1" si="81"/>
        <v>0</v>
      </c>
      <c r="AO270" s="137">
        <f t="shared" ca="1" si="82"/>
        <v>0</v>
      </c>
      <c r="AP270" s="137">
        <f t="shared" ca="1" si="83"/>
        <v>0</v>
      </c>
      <c r="AQ270" s="137">
        <f t="shared" si="84"/>
        <v>0</v>
      </c>
      <c r="AR270" s="236">
        <f t="shared" ca="1" si="85"/>
        <v>0</v>
      </c>
      <c r="AT270" s="241">
        <f t="shared" ca="1" si="86"/>
        <v>28</v>
      </c>
      <c r="AV270" s="222">
        <f t="shared" ca="1" si="87"/>
        <v>0</v>
      </c>
      <c r="AW270" s="247">
        <f t="shared" si="88"/>
        <v>91</v>
      </c>
      <c r="AY270" s="239">
        <f ca="1">(AE270=5)*('  B  '!F$110=1)*OR(AND(AND(A270&gt;=S$220,A270&gt;=I$214),AND(A270&lt;=S$221,A270&lt;=I$215)),AND(AND(A270&gt;=S$230,A270&gt;=I$224),AND(A270&lt;=S$231,A270&lt;=I$225)),AND(AND(A270&gt;=S$240,A270&gt;=I$234),AND(A270&lt;=S$241,A270&lt;=I$235)))</f>
        <v>0</v>
      </c>
      <c r="BA270" s="222">
        <f t="shared" ca="1" si="89"/>
        <v>0</v>
      </c>
      <c r="BB270" s="55">
        <f t="shared" ca="1" si="90"/>
        <v>0</v>
      </c>
      <c r="BC270" s="247">
        <f t="shared" si="91"/>
        <v>184</v>
      </c>
      <c r="BE270" s="239">
        <f t="shared" ca="1" si="92"/>
        <v>0</v>
      </c>
      <c r="BG270" s="239">
        <f t="shared" ca="1" si="93"/>
        <v>0</v>
      </c>
      <c r="BI270" s="222"/>
      <c r="BJ270" s="137">
        <v>0</v>
      </c>
      <c r="BK270" s="137">
        <v>0</v>
      </c>
      <c r="BL270" s="137">
        <f t="shared" ca="1" si="94"/>
        <v>1</v>
      </c>
      <c r="BM270" s="137">
        <f t="shared" ca="1" si="95"/>
        <v>1</v>
      </c>
      <c r="BN270" s="137">
        <f ca="1">(A270&gt;=N_LFP_Startdatum)*IF('  B  '!F$110=1,NOT(OR(A270&gt;S$221,A270&gt;S$231,A270&gt;S$241)),IF(BB270&gt;BC270,0,1))</f>
        <v>1</v>
      </c>
      <c r="BO270" s="137">
        <f t="shared" ca="1" si="96"/>
        <v>1</v>
      </c>
      <c r="BP270" s="137">
        <v>0</v>
      </c>
      <c r="BQ270" s="137">
        <f t="shared" ca="1" si="97"/>
        <v>1</v>
      </c>
      <c r="BR270" s="653">
        <v>0</v>
      </c>
      <c r="BS270" s="224">
        <f ca="1">(A270&gt;=N_LFP_Startdatum)*IF('  B  '!F$110=1,NOT(OR(A270&gt;S$221,A270&gt;S$231,A270&gt;S$241)),IF(BB270&gt;BC270,0,1))</f>
        <v>1</v>
      </c>
      <c r="BU270" s="562">
        <f t="shared" ca="1" si="98"/>
        <v>0</v>
      </c>
      <c r="BV270" s="156">
        <f ca="1">(R270=0)*MAX(0,(B270+C270+IF(ISERROR(N_NachtStufe),0,D270*OFFSET(Vorgabewerte!E$10:E$14,N_NachtStufe,0,1,1)))-(1-BU270)*N_ArbeitsstundenSollProKT)</f>
        <v>0</v>
      </c>
      <c r="BW270" s="156"/>
      <c r="BX270" s="156">
        <f ca="1">(AE270=5)*('  B  '!F$110=1)*(1-'  B  '!F$113+(AY270*'  B  '!F$114))*(G270*IF(N_ArbeitsstundenSollProKT&gt;0,N_Monatslohn/(P$2*N_ArbeitsstundenSollProKT),0))</f>
        <v>0</v>
      </c>
      <c r="BY270" s="156">
        <f ca="1">((BE270&gt;0)*(1-'  B  '!F$105)+(BE270&gt;'  B  '!F$104)*'  B  '!F$106)*(G270*IF(N_ArbeitsstundenSollProKT&gt;0,N_Monatslohn/(P$2*N_ArbeitsstundenSollProKT),0))</f>
        <v>0</v>
      </c>
      <c r="BZ270" s="156">
        <f t="shared" ca="1" si="99"/>
        <v>0</v>
      </c>
      <c r="CA270" s="156">
        <f t="shared" ca="1" si="100"/>
        <v>0</v>
      </c>
      <c r="CB270" s="156"/>
      <c r="CC270" s="156">
        <f ca="1">(AE270=5)*('  B  '!F$113-(AY270*'  B  '!F$114))*G270*CF$260</f>
        <v>0</v>
      </c>
      <c r="CD270" s="156">
        <f ca="1">((BE270&gt;0)*'  B  '!F$105-(BE270&gt;N_Wartefrist_Unfall)*'  B  '!F$106)*(G270*CF$260)</f>
        <v>0</v>
      </c>
      <c r="CE270" s="156">
        <f ca="1">OR(AE270&lt;5,AE270&gt;6)*G270*OFFSET(Vorgabewerte!C$56,AE270,0,1,1)*CF$260</f>
        <v>0</v>
      </c>
      <c r="CF270" s="156">
        <f t="shared" ca="1" si="101"/>
        <v>0</v>
      </c>
      <c r="CH270" s="270">
        <f ca="1">(AY270=1)*'  B  '!F$114*G270*(N_BruttoStundenSatz_Monatslohn+CF$260)</f>
        <v>0</v>
      </c>
      <c r="CI270" s="270">
        <f ca="1">(BE270&gt;N_Wartefrist_Unfall)*'  B  '!F$106*G270*(N_BruttoStundenSatz_Monatslohn+CF$260)</f>
        <v>0</v>
      </c>
      <c r="CJ270" s="270">
        <f ca="1">IF(VLOOKUP('  B  '!C$65,A_JaNein_Auswahl,2,0)=1,(CH270+CI270)/12,0)</f>
        <v>0</v>
      </c>
      <c r="CK270" s="284">
        <f t="shared" ca="1" si="102"/>
        <v>0</v>
      </c>
      <c r="CL270" s="270">
        <f t="shared" ca="1" si="103"/>
        <v>0</v>
      </c>
      <c r="CM270" s="265">
        <f t="shared" ca="1" si="104"/>
        <v>0</v>
      </c>
      <c r="CO270" s="222"/>
      <c r="CP270" s="137">
        <v>0</v>
      </c>
      <c r="CQ270" s="137">
        <v>0</v>
      </c>
      <c r="CR270" s="137">
        <v>0</v>
      </c>
      <c r="CS270" s="137">
        <f t="shared" ca="1" si="105"/>
        <v>0</v>
      </c>
      <c r="CT270" s="137">
        <f t="shared" ca="1" si="106"/>
        <v>0</v>
      </c>
      <c r="CU270" s="137">
        <f t="shared" ca="1" si="107"/>
        <v>0</v>
      </c>
      <c r="CV270" s="137">
        <v>0</v>
      </c>
      <c r="CW270" s="137">
        <f t="shared" ca="1" si="108"/>
        <v>0</v>
      </c>
      <c r="CX270" s="137">
        <v>0</v>
      </c>
      <c r="CY270" s="224">
        <f t="shared" ca="1" si="109"/>
        <v>0</v>
      </c>
      <c r="DA270" s="260">
        <f ca="1">(AE270=4)*I270*OFFSET(Vorgabewerte!D$56,AE270,0,1,1)*DB$259</f>
        <v>0</v>
      </c>
      <c r="DB270" s="379">
        <f ca="1">(AE270=5)*IF('  B  '!F$110=1,IF(NOT(AY270=1),I270*'  B  '!F$113*MIN(DB$259,DB$260),I270*MAX(0,OFFSET(Vorgabewerte!D$56,AE270,0,1,1)-'  B  '!F$114)*MIN(DB$259,DB$260)),I270*OFFSET(Vorgabewerte!D$56,AE270,0,1,1)*MIN(DB$259,DB$260))</f>
        <v>0</v>
      </c>
      <c r="DC270" s="379">
        <f ca="1">(AE270=6)*IF(NOT(BE270&gt;N_Wartefrist_Unfall),I270*'  B  '!F$105*MIN(DB$259,DB$260),I270*MAX(0,OFFSET(Vorgabewerte!D$56,AE270,0,1,1)-'  B  '!F$106)*MIN(DB$259,DB$260))</f>
        <v>0</v>
      </c>
      <c r="DD270" s="255">
        <f ca="1">NOT(OR(AE270=4,AE270=5,AE270=6))*I270*OFFSET(Vorgabewerte!D$56,AE270,0,1,1)*MIN(DB$259,DB$260)</f>
        <v>0</v>
      </c>
      <c r="DE270" s="278">
        <f t="shared" ca="1" si="110"/>
        <v>0</v>
      </c>
      <c r="DF270" s="279">
        <f t="shared" ca="1" si="111"/>
        <v>0</v>
      </c>
      <c r="DG270" s="280">
        <f t="shared" ca="1" si="112"/>
        <v>0</v>
      </c>
      <c r="DI270" s="260">
        <f ca="1">(AE270=4)*I270*OFFSET(Vorgabewerte!D$56,AE270,0,1,1)*DJ$260</f>
        <v>0</v>
      </c>
      <c r="DJ270" s="379">
        <f ca="1">(AE270=5)*IF('  B  '!F$110=1,IF(NOT(AY270=1),I270*'  B  '!F$113*DJ$260,I270*MAX(0,OFFSET(Vorgabewerte!D$56,AE270,0,1,1)-'  B  '!F$114)*DJ$260),I270*OFFSET(Vorgabewerte!D$56,AE270,0,1,1)*DJ$260)</f>
        <v>0</v>
      </c>
      <c r="DK270" s="379">
        <f ca="1">(AE270=6)*IF(NOT(BE270&gt;N_Wartefrist_Unfall),I270*'  B  '!F$105*DJ$260,I270*MAX(0,OFFSET(Vorgabewerte!D$56,AE270,0,1,1)-'  B  '!F$106)*DJ$260)</f>
        <v>0</v>
      </c>
      <c r="DL270" s="255">
        <f ca="1">NOT(OR(AM270=4,AM270=5,AM270=6))*Q270*OFFSET(Vorgabewerte!L$56,AM270,0,1,1)*DJ$260</f>
        <v>0</v>
      </c>
      <c r="DM270" s="674">
        <f t="shared" ca="1" si="115"/>
        <v>0</v>
      </c>
      <c r="DN270" s="279">
        <f t="shared" ca="1" si="116"/>
        <v>0</v>
      </c>
      <c r="DO270" s="279">
        <f t="shared" ca="1" si="117"/>
        <v>0</v>
      </c>
    </row>
    <row r="271" spans="1:119" x14ac:dyDescent="0.25">
      <c r="A271" s="153">
        <f t="shared" si="113"/>
        <v>45481</v>
      </c>
      <c r="B271" s="154"/>
      <c r="C271" s="154"/>
      <c r="D271" s="154"/>
      <c r="E271" s="875" t="str">
        <f t="shared" ca="1" si="57"/>
        <v/>
      </c>
      <c r="F271" s="876"/>
      <c r="G271" s="667">
        <f t="shared" ca="1" si="114"/>
        <v>0</v>
      </c>
      <c r="H271" s="667">
        <f t="shared" ca="1" si="58"/>
        <v>0</v>
      </c>
      <c r="I271" s="667">
        <f t="shared" ca="1" si="59"/>
        <v>0</v>
      </c>
      <c r="P271" s="151">
        <f t="shared" si="60"/>
        <v>125</v>
      </c>
      <c r="R271" s="55">
        <f t="shared" si="61"/>
        <v>0</v>
      </c>
      <c r="S271" s="55">
        <f t="shared" si="62"/>
        <v>1</v>
      </c>
      <c r="U271" s="226">
        <f t="shared" si="63"/>
        <v>0</v>
      </c>
      <c r="V271" s="137">
        <f t="shared" ca="1" si="64"/>
        <v>0</v>
      </c>
      <c r="W271" s="137">
        <f t="shared" si="65"/>
        <v>0</v>
      </c>
      <c r="X271" s="137">
        <f t="shared" si="66"/>
        <v>0</v>
      </c>
      <c r="Y271" s="137">
        <f t="shared" ca="1" si="67"/>
        <v>0</v>
      </c>
      <c r="Z271" s="137">
        <f t="shared" ca="1" si="68"/>
        <v>0</v>
      </c>
      <c r="AA271" s="137">
        <f t="shared" ca="1" si="69"/>
        <v>0</v>
      </c>
      <c r="AB271" s="137">
        <f t="shared" ca="1" si="70"/>
        <v>0</v>
      </c>
      <c r="AC271" s="137">
        <f t="shared" ca="1" si="71"/>
        <v>0</v>
      </c>
      <c r="AD271" s="137">
        <f t="shared" ca="1" si="72"/>
        <v>0</v>
      </c>
      <c r="AE271" s="223">
        <f t="shared" ca="1" si="73"/>
        <v>0</v>
      </c>
      <c r="AF271" s="229" t="str">
        <f t="shared" ca="1" si="74"/>
        <v/>
      </c>
      <c r="AH271" s="235">
        <f t="shared" si="75"/>
        <v>45481</v>
      </c>
      <c r="AI271" s="137">
        <f t="shared" ca="1" si="76"/>
        <v>0</v>
      </c>
      <c r="AJ271" s="137">
        <f t="shared" si="77"/>
        <v>0</v>
      </c>
      <c r="AK271" s="137">
        <f t="shared" ca="1" si="78"/>
        <v>0</v>
      </c>
      <c r="AL271" s="137">
        <f t="shared" ca="1" si="79"/>
        <v>0</v>
      </c>
      <c r="AM271" s="137">
        <f t="shared" si="80"/>
        <v>0</v>
      </c>
      <c r="AN271" s="137">
        <f t="shared" ca="1" si="81"/>
        <v>0</v>
      </c>
      <c r="AO271" s="137">
        <f t="shared" ca="1" si="82"/>
        <v>0</v>
      </c>
      <c r="AP271" s="137">
        <f t="shared" ca="1" si="83"/>
        <v>0</v>
      </c>
      <c r="AQ271" s="137">
        <f t="shared" si="84"/>
        <v>0</v>
      </c>
      <c r="AR271" s="236">
        <f t="shared" ca="1" si="85"/>
        <v>0</v>
      </c>
      <c r="AT271" s="241">
        <f t="shared" ca="1" si="86"/>
        <v>28</v>
      </c>
      <c r="AV271" s="222">
        <f t="shared" ca="1" si="87"/>
        <v>0</v>
      </c>
      <c r="AW271" s="247">
        <f t="shared" si="88"/>
        <v>91</v>
      </c>
      <c r="AY271" s="239">
        <f ca="1">(AE271=5)*('  B  '!F$110=1)*OR(AND(AND(A271&gt;=S$220,A271&gt;=I$214),AND(A271&lt;=S$221,A271&lt;=I$215)),AND(AND(A271&gt;=S$230,A271&gt;=I$224),AND(A271&lt;=S$231,A271&lt;=I$225)),AND(AND(A271&gt;=S$240,A271&gt;=I$234),AND(A271&lt;=S$241,A271&lt;=I$235)))</f>
        <v>0</v>
      </c>
      <c r="BA271" s="222">
        <f t="shared" ca="1" si="89"/>
        <v>0</v>
      </c>
      <c r="BB271" s="55">
        <f t="shared" ca="1" si="90"/>
        <v>0</v>
      </c>
      <c r="BC271" s="247">
        <f t="shared" si="91"/>
        <v>184</v>
      </c>
      <c r="BE271" s="239">
        <f t="shared" ca="1" si="92"/>
        <v>0</v>
      </c>
      <c r="BG271" s="239">
        <f t="shared" ca="1" si="93"/>
        <v>0</v>
      </c>
      <c r="BI271" s="222"/>
      <c r="BJ271" s="137">
        <v>0</v>
      </c>
      <c r="BK271" s="137">
        <v>0</v>
      </c>
      <c r="BL271" s="137">
        <f t="shared" ca="1" si="94"/>
        <v>1</v>
      </c>
      <c r="BM271" s="137">
        <f t="shared" ca="1" si="95"/>
        <v>1</v>
      </c>
      <c r="BN271" s="137">
        <f ca="1">(A271&gt;=N_LFP_Startdatum)*IF('  B  '!F$110=1,NOT(OR(A271&gt;S$221,A271&gt;S$231,A271&gt;S$241)),IF(BB271&gt;BC271,0,1))</f>
        <v>1</v>
      </c>
      <c r="BO271" s="137">
        <f t="shared" ca="1" si="96"/>
        <v>1</v>
      </c>
      <c r="BP271" s="137">
        <v>0</v>
      </c>
      <c r="BQ271" s="137">
        <f t="shared" ca="1" si="97"/>
        <v>1</v>
      </c>
      <c r="BR271" s="653">
        <v>0</v>
      </c>
      <c r="BS271" s="224">
        <f ca="1">(A271&gt;=N_LFP_Startdatum)*IF('  B  '!F$110=1,NOT(OR(A271&gt;S$221,A271&gt;S$231,A271&gt;S$241)),IF(BB271&gt;BC271,0,1))</f>
        <v>1</v>
      </c>
      <c r="BU271" s="562">
        <f t="shared" ca="1" si="98"/>
        <v>0</v>
      </c>
      <c r="BV271" s="156">
        <f ca="1">(R271=0)*MAX(0,(B271+C271+IF(ISERROR(N_NachtStufe),0,D271*OFFSET(Vorgabewerte!E$10:E$14,N_NachtStufe,0,1,1)))-(1-BU271)*N_ArbeitsstundenSollProKT)</f>
        <v>0</v>
      </c>
      <c r="BW271" s="156"/>
      <c r="BX271" s="156">
        <f ca="1">(AE271=5)*('  B  '!F$110=1)*(1-'  B  '!F$113+(AY271*'  B  '!F$114))*(G271*IF(N_ArbeitsstundenSollProKT&gt;0,N_Monatslohn/(P$2*N_ArbeitsstundenSollProKT),0))</f>
        <v>0</v>
      </c>
      <c r="BY271" s="156">
        <f ca="1">((BE271&gt;0)*(1-'  B  '!F$105)+(BE271&gt;'  B  '!F$104)*'  B  '!F$106)*(G271*IF(N_ArbeitsstundenSollProKT&gt;0,N_Monatslohn/(P$2*N_ArbeitsstundenSollProKT),0))</f>
        <v>0</v>
      </c>
      <c r="BZ271" s="156">
        <f t="shared" ca="1" si="99"/>
        <v>0</v>
      </c>
      <c r="CA271" s="156">
        <f t="shared" ca="1" si="100"/>
        <v>0</v>
      </c>
      <c r="CB271" s="156"/>
      <c r="CC271" s="156">
        <f ca="1">(AE271=5)*('  B  '!F$113-(AY271*'  B  '!F$114))*G271*CF$260</f>
        <v>0</v>
      </c>
      <c r="CD271" s="156">
        <f ca="1">((BE271&gt;0)*'  B  '!F$105-(BE271&gt;N_Wartefrist_Unfall)*'  B  '!F$106)*(G271*CF$260)</f>
        <v>0</v>
      </c>
      <c r="CE271" s="156">
        <f ca="1">OR(AE271&lt;5,AE271&gt;6)*G271*OFFSET(Vorgabewerte!C$56,AE271,0,1,1)*CF$260</f>
        <v>0</v>
      </c>
      <c r="CF271" s="156">
        <f t="shared" ca="1" si="101"/>
        <v>0</v>
      </c>
      <c r="CH271" s="270">
        <f ca="1">(AY271=1)*'  B  '!F$114*G271*(N_BruttoStundenSatz_Monatslohn+CF$260)</f>
        <v>0</v>
      </c>
      <c r="CI271" s="270">
        <f ca="1">(BE271&gt;N_Wartefrist_Unfall)*'  B  '!F$106*G271*(N_BruttoStundenSatz_Monatslohn+CF$260)</f>
        <v>0</v>
      </c>
      <c r="CJ271" s="270">
        <f ca="1">IF(VLOOKUP('  B  '!C$65,A_JaNein_Auswahl,2,0)=1,(CH271+CI271)/12,0)</f>
        <v>0</v>
      </c>
      <c r="CK271" s="284">
        <f t="shared" ca="1" si="102"/>
        <v>0</v>
      </c>
      <c r="CL271" s="270">
        <f t="shared" ca="1" si="103"/>
        <v>0</v>
      </c>
      <c r="CM271" s="265">
        <f t="shared" ca="1" si="104"/>
        <v>0</v>
      </c>
      <c r="CO271" s="222"/>
      <c r="CP271" s="137">
        <v>0</v>
      </c>
      <c r="CQ271" s="137">
        <v>0</v>
      </c>
      <c r="CR271" s="137">
        <v>0</v>
      </c>
      <c r="CS271" s="137">
        <f t="shared" ca="1" si="105"/>
        <v>0</v>
      </c>
      <c r="CT271" s="137">
        <f t="shared" ca="1" si="106"/>
        <v>0</v>
      </c>
      <c r="CU271" s="137">
        <f t="shared" ca="1" si="107"/>
        <v>0</v>
      </c>
      <c r="CV271" s="137">
        <v>0</v>
      </c>
      <c r="CW271" s="137">
        <f t="shared" ca="1" si="108"/>
        <v>0</v>
      </c>
      <c r="CX271" s="137">
        <v>0</v>
      </c>
      <c r="CY271" s="224">
        <f t="shared" ca="1" si="109"/>
        <v>0</v>
      </c>
      <c r="DA271" s="260">
        <f ca="1">(AE271=4)*I271*OFFSET(Vorgabewerte!D$56,AE271,0,1,1)*DB$259</f>
        <v>0</v>
      </c>
      <c r="DB271" s="379">
        <f ca="1">(AE271=5)*IF('  B  '!F$110=1,IF(NOT(AY271=1),I271*'  B  '!F$113*MIN(DB$259,DB$260),I271*MAX(0,OFFSET(Vorgabewerte!D$56,AE271,0,1,1)-'  B  '!F$114)*MIN(DB$259,DB$260)),I271*OFFSET(Vorgabewerte!D$56,AE271,0,1,1)*MIN(DB$259,DB$260))</f>
        <v>0</v>
      </c>
      <c r="DC271" s="379">
        <f ca="1">(AE271=6)*IF(NOT(BE271&gt;N_Wartefrist_Unfall),I271*'  B  '!F$105*MIN(DB$259,DB$260),I271*MAX(0,OFFSET(Vorgabewerte!D$56,AE271,0,1,1)-'  B  '!F$106)*MIN(DB$259,DB$260))</f>
        <v>0</v>
      </c>
      <c r="DD271" s="255">
        <f ca="1">NOT(OR(AE271=4,AE271=5,AE271=6))*I271*OFFSET(Vorgabewerte!D$56,AE271,0,1,1)*MIN(DB$259,DB$260)</f>
        <v>0</v>
      </c>
      <c r="DE271" s="278">
        <f t="shared" ca="1" si="110"/>
        <v>0</v>
      </c>
      <c r="DF271" s="279">
        <f t="shared" ca="1" si="111"/>
        <v>0</v>
      </c>
      <c r="DG271" s="280">
        <f t="shared" ca="1" si="112"/>
        <v>0</v>
      </c>
      <c r="DI271" s="260">
        <f ca="1">(AE271=4)*I271*OFFSET(Vorgabewerte!D$56,AE271,0,1,1)*DJ$260</f>
        <v>0</v>
      </c>
      <c r="DJ271" s="379">
        <f ca="1">(AE271=5)*IF('  B  '!F$110=1,IF(NOT(AY271=1),I271*'  B  '!F$113*DJ$260,I271*MAX(0,OFFSET(Vorgabewerte!D$56,AE271,0,1,1)-'  B  '!F$114)*DJ$260),I271*OFFSET(Vorgabewerte!D$56,AE271,0,1,1)*DJ$260)</f>
        <v>0</v>
      </c>
      <c r="DK271" s="379">
        <f ca="1">(AE271=6)*IF(NOT(BE271&gt;N_Wartefrist_Unfall),I271*'  B  '!F$105*DJ$260,I271*MAX(0,OFFSET(Vorgabewerte!D$56,AE271,0,1,1)-'  B  '!F$106)*DJ$260)</f>
        <v>0</v>
      </c>
      <c r="DL271" s="255">
        <f ca="1">NOT(OR(AM271=4,AM271=5,AM271=6))*Q271*OFFSET(Vorgabewerte!L$56,AM271,0,1,1)*DJ$260</f>
        <v>0</v>
      </c>
      <c r="DM271" s="674">
        <f t="shared" ca="1" si="115"/>
        <v>0</v>
      </c>
      <c r="DN271" s="279">
        <f t="shared" ca="1" si="116"/>
        <v>0</v>
      </c>
      <c r="DO271" s="279">
        <f t="shared" ca="1" si="117"/>
        <v>0</v>
      </c>
    </row>
    <row r="272" spans="1:119" x14ac:dyDescent="0.25">
      <c r="A272" s="153">
        <f t="shared" si="113"/>
        <v>45482</v>
      </c>
      <c r="B272" s="154"/>
      <c r="C272" s="154"/>
      <c r="D272" s="154"/>
      <c r="E272" s="875" t="str">
        <f t="shared" ca="1" si="57"/>
        <v/>
      </c>
      <c r="F272" s="876"/>
      <c r="G272" s="667">
        <f t="shared" ca="1" si="114"/>
        <v>0</v>
      </c>
      <c r="H272" s="667">
        <f t="shared" ca="1" si="58"/>
        <v>0</v>
      </c>
      <c r="I272" s="667">
        <f t="shared" ca="1" si="59"/>
        <v>0</v>
      </c>
      <c r="P272" s="151">
        <f t="shared" si="60"/>
        <v>125</v>
      </c>
      <c r="R272" s="55">
        <f t="shared" si="61"/>
        <v>0</v>
      </c>
      <c r="S272" s="55">
        <f t="shared" si="62"/>
        <v>1</v>
      </c>
      <c r="U272" s="226">
        <f t="shared" si="63"/>
        <v>0</v>
      </c>
      <c r="V272" s="137">
        <f t="shared" ca="1" si="64"/>
        <v>0</v>
      </c>
      <c r="W272" s="137">
        <f t="shared" si="65"/>
        <v>0</v>
      </c>
      <c r="X272" s="137">
        <f t="shared" si="66"/>
        <v>0</v>
      </c>
      <c r="Y272" s="137">
        <f t="shared" ca="1" si="67"/>
        <v>0</v>
      </c>
      <c r="Z272" s="137">
        <f t="shared" ca="1" si="68"/>
        <v>0</v>
      </c>
      <c r="AA272" s="137">
        <f t="shared" ca="1" si="69"/>
        <v>0</v>
      </c>
      <c r="AB272" s="137">
        <f t="shared" ca="1" si="70"/>
        <v>0</v>
      </c>
      <c r="AC272" s="137">
        <f t="shared" ca="1" si="71"/>
        <v>0</v>
      </c>
      <c r="AD272" s="137">
        <f t="shared" ca="1" si="72"/>
        <v>0</v>
      </c>
      <c r="AE272" s="223">
        <f t="shared" ca="1" si="73"/>
        <v>0</v>
      </c>
      <c r="AF272" s="229" t="str">
        <f t="shared" ca="1" si="74"/>
        <v/>
      </c>
      <c r="AH272" s="235">
        <f t="shared" si="75"/>
        <v>45482</v>
      </c>
      <c r="AI272" s="137">
        <f t="shared" ca="1" si="76"/>
        <v>0</v>
      </c>
      <c r="AJ272" s="137">
        <f t="shared" si="77"/>
        <v>0</v>
      </c>
      <c r="AK272" s="137">
        <f t="shared" ca="1" si="78"/>
        <v>0</v>
      </c>
      <c r="AL272" s="137">
        <f t="shared" ca="1" si="79"/>
        <v>0</v>
      </c>
      <c r="AM272" s="137">
        <f t="shared" si="80"/>
        <v>0</v>
      </c>
      <c r="AN272" s="137">
        <f t="shared" ca="1" si="81"/>
        <v>0</v>
      </c>
      <c r="AO272" s="137">
        <f t="shared" ca="1" si="82"/>
        <v>0</v>
      </c>
      <c r="AP272" s="137">
        <f t="shared" ca="1" si="83"/>
        <v>0</v>
      </c>
      <c r="AQ272" s="137">
        <f t="shared" si="84"/>
        <v>0</v>
      </c>
      <c r="AR272" s="236">
        <f t="shared" ca="1" si="85"/>
        <v>0</v>
      </c>
      <c r="AT272" s="241">
        <f t="shared" ca="1" si="86"/>
        <v>28</v>
      </c>
      <c r="AV272" s="222">
        <f t="shared" ca="1" si="87"/>
        <v>0</v>
      </c>
      <c r="AW272" s="247">
        <f t="shared" si="88"/>
        <v>91</v>
      </c>
      <c r="AY272" s="239">
        <f ca="1">(AE272=5)*('  B  '!F$110=1)*OR(AND(AND(A272&gt;=S$220,A272&gt;=I$214),AND(A272&lt;=S$221,A272&lt;=I$215)),AND(AND(A272&gt;=S$230,A272&gt;=I$224),AND(A272&lt;=S$231,A272&lt;=I$225)),AND(AND(A272&gt;=S$240,A272&gt;=I$234),AND(A272&lt;=S$241,A272&lt;=I$235)))</f>
        <v>0</v>
      </c>
      <c r="BA272" s="222">
        <f t="shared" ca="1" si="89"/>
        <v>0</v>
      </c>
      <c r="BB272" s="55">
        <f t="shared" ca="1" si="90"/>
        <v>0</v>
      </c>
      <c r="BC272" s="247">
        <f t="shared" si="91"/>
        <v>184</v>
      </c>
      <c r="BE272" s="239">
        <f t="shared" ca="1" si="92"/>
        <v>0</v>
      </c>
      <c r="BG272" s="239">
        <f t="shared" ca="1" si="93"/>
        <v>0</v>
      </c>
      <c r="BI272" s="222"/>
      <c r="BJ272" s="137">
        <v>0</v>
      </c>
      <c r="BK272" s="137">
        <v>0</v>
      </c>
      <c r="BL272" s="137">
        <f t="shared" ca="1" si="94"/>
        <v>1</v>
      </c>
      <c r="BM272" s="137">
        <f t="shared" ca="1" si="95"/>
        <v>1</v>
      </c>
      <c r="BN272" s="137">
        <f ca="1">(A272&gt;=N_LFP_Startdatum)*IF('  B  '!F$110=1,NOT(OR(A272&gt;S$221,A272&gt;S$231,A272&gt;S$241)),IF(BB272&gt;BC272,0,1))</f>
        <v>1</v>
      </c>
      <c r="BO272" s="137">
        <f t="shared" ca="1" si="96"/>
        <v>1</v>
      </c>
      <c r="BP272" s="137">
        <v>0</v>
      </c>
      <c r="BQ272" s="137">
        <f t="shared" ca="1" si="97"/>
        <v>1</v>
      </c>
      <c r="BR272" s="653">
        <v>0</v>
      </c>
      <c r="BS272" s="224">
        <f ca="1">(A272&gt;=N_LFP_Startdatum)*IF('  B  '!F$110=1,NOT(OR(A272&gt;S$221,A272&gt;S$231,A272&gt;S$241)),IF(BB272&gt;BC272,0,1))</f>
        <v>1</v>
      </c>
      <c r="BU272" s="562">
        <f t="shared" ca="1" si="98"/>
        <v>0</v>
      </c>
      <c r="BV272" s="156">
        <f ca="1">(R272=0)*MAX(0,(B272+C272+IF(ISERROR(N_NachtStufe),0,D272*OFFSET(Vorgabewerte!E$10:E$14,N_NachtStufe,0,1,1)))-(1-BU272)*N_ArbeitsstundenSollProKT)</f>
        <v>0</v>
      </c>
      <c r="BW272" s="156"/>
      <c r="BX272" s="156">
        <f ca="1">(AE272=5)*('  B  '!F$110=1)*(1-'  B  '!F$113+(AY272*'  B  '!F$114))*(G272*IF(N_ArbeitsstundenSollProKT&gt;0,N_Monatslohn/(P$2*N_ArbeitsstundenSollProKT),0))</f>
        <v>0</v>
      </c>
      <c r="BY272" s="156">
        <f ca="1">((BE272&gt;0)*(1-'  B  '!F$105)+(BE272&gt;'  B  '!F$104)*'  B  '!F$106)*(G272*IF(N_ArbeitsstundenSollProKT&gt;0,N_Monatslohn/(P$2*N_ArbeitsstundenSollProKT),0))</f>
        <v>0</v>
      </c>
      <c r="BZ272" s="156">
        <f t="shared" ca="1" si="99"/>
        <v>0</v>
      </c>
      <c r="CA272" s="156">
        <f t="shared" ca="1" si="100"/>
        <v>0</v>
      </c>
      <c r="CB272" s="156"/>
      <c r="CC272" s="156">
        <f ca="1">(AE272=5)*('  B  '!F$113-(AY272*'  B  '!F$114))*G272*CF$260</f>
        <v>0</v>
      </c>
      <c r="CD272" s="156">
        <f ca="1">((BE272&gt;0)*'  B  '!F$105-(BE272&gt;N_Wartefrist_Unfall)*'  B  '!F$106)*(G272*CF$260)</f>
        <v>0</v>
      </c>
      <c r="CE272" s="156">
        <f ca="1">OR(AE272&lt;5,AE272&gt;6)*G272*OFFSET(Vorgabewerte!C$56,AE272,0,1,1)*CF$260</f>
        <v>0</v>
      </c>
      <c r="CF272" s="156">
        <f t="shared" ca="1" si="101"/>
        <v>0</v>
      </c>
      <c r="CH272" s="270">
        <f ca="1">(AY272=1)*'  B  '!F$114*G272*(N_BruttoStundenSatz_Monatslohn+CF$260)</f>
        <v>0</v>
      </c>
      <c r="CI272" s="270">
        <f ca="1">(BE272&gt;N_Wartefrist_Unfall)*'  B  '!F$106*G272*(N_BruttoStundenSatz_Monatslohn+CF$260)</f>
        <v>0</v>
      </c>
      <c r="CJ272" s="270">
        <f ca="1">IF(VLOOKUP('  B  '!C$65,A_JaNein_Auswahl,2,0)=1,(CH272+CI272)/12,0)</f>
        <v>0</v>
      </c>
      <c r="CK272" s="284">
        <f t="shared" ca="1" si="102"/>
        <v>0</v>
      </c>
      <c r="CL272" s="270">
        <f t="shared" ca="1" si="103"/>
        <v>0</v>
      </c>
      <c r="CM272" s="265">
        <f t="shared" ca="1" si="104"/>
        <v>0</v>
      </c>
      <c r="CO272" s="222"/>
      <c r="CP272" s="137">
        <v>0</v>
      </c>
      <c r="CQ272" s="137">
        <v>0</v>
      </c>
      <c r="CR272" s="137">
        <v>0</v>
      </c>
      <c r="CS272" s="137">
        <f t="shared" ca="1" si="105"/>
        <v>0</v>
      </c>
      <c r="CT272" s="137">
        <f t="shared" ca="1" si="106"/>
        <v>0</v>
      </c>
      <c r="CU272" s="137">
        <f t="shared" ca="1" si="107"/>
        <v>0</v>
      </c>
      <c r="CV272" s="137">
        <v>0</v>
      </c>
      <c r="CW272" s="137">
        <f t="shared" ca="1" si="108"/>
        <v>0</v>
      </c>
      <c r="CX272" s="137">
        <v>0</v>
      </c>
      <c r="CY272" s="224">
        <f t="shared" ca="1" si="109"/>
        <v>0</v>
      </c>
      <c r="DA272" s="260">
        <f ca="1">(AE272=4)*I272*OFFSET(Vorgabewerte!D$56,AE272,0,1,1)*DB$259</f>
        <v>0</v>
      </c>
      <c r="DB272" s="379">
        <f ca="1">(AE272=5)*IF('  B  '!F$110=1,IF(NOT(AY272=1),I272*'  B  '!F$113*MIN(DB$259,DB$260),I272*MAX(0,OFFSET(Vorgabewerte!D$56,AE272,0,1,1)-'  B  '!F$114)*MIN(DB$259,DB$260)),I272*OFFSET(Vorgabewerte!D$56,AE272,0,1,1)*MIN(DB$259,DB$260))</f>
        <v>0</v>
      </c>
      <c r="DC272" s="379">
        <f ca="1">(AE272=6)*IF(NOT(BE272&gt;N_Wartefrist_Unfall),I272*'  B  '!F$105*MIN(DB$259,DB$260),I272*MAX(0,OFFSET(Vorgabewerte!D$56,AE272,0,1,1)-'  B  '!F$106)*MIN(DB$259,DB$260))</f>
        <v>0</v>
      </c>
      <c r="DD272" s="255">
        <f ca="1">NOT(OR(AE272=4,AE272=5,AE272=6))*I272*OFFSET(Vorgabewerte!D$56,AE272,0,1,1)*MIN(DB$259,DB$260)</f>
        <v>0</v>
      </c>
      <c r="DE272" s="278">
        <f t="shared" ca="1" si="110"/>
        <v>0</v>
      </c>
      <c r="DF272" s="279">
        <f t="shared" ca="1" si="111"/>
        <v>0</v>
      </c>
      <c r="DG272" s="280">
        <f t="shared" ca="1" si="112"/>
        <v>0</v>
      </c>
      <c r="DI272" s="260">
        <f ca="1">(AE272=4)*I272*OFFSET(Vorgabewerte!D$56,AE272,0,1,1)*DJ$260</f>
        <v>0</v>
      </c>
      <c r="DJ272" s="379">
        <f ca="1">(AE272=5)*IF('  B  '!F$110=1,IF(NOT(AY272=1),I272*'  B  '!F$113*DJ$260,I272*MAX(0,OFFSET(Vorgabewerte!D$56,AE272,0,1,1)-'  B  '!F$114)*DJ$260),I272*OFFSET(Vorgabewerte!D$56,AE272,0,1,1)*DJ$260)</f>
        <v>0</v>
      </c>
      <c r="DK272" s="379">
        <f ca="1">(AE272=6)*IF(NOT(BE272&gt;N_Wartefrist_Unfall),I272*'  B  '!F$105*DJ$260,I272*MAX(0,OFFSET(Vorgabewerte!D$56,AE272,0,1,1)-'  B  '!F$106)*DJ$260)</f>
        <v>0</v>
      </c>
      <c r="DL272" s="255">
        <f ca="1">NOT(OR(AM272=4,AM272=5,AM272=6))*Q272*OFFSET(Vorgabewerte!L$56,AM272,0,1,1)*DJ$260</f>
        <v>0</v>
      </c>
      <c r="DM272" s="674">
        <f t="shared" ca="1" si="115"/>
        <v>0</v>
      </c>
      <c r="DN272" s="279">
        <f t="shared" ca="1" si="116"/>
        <v>0</v>
      </c>
      <c r="DO272" s="279">
        <f t="shared" ca="1" si="117"/>
        <v>0</v>
      </c>
    </row>
    <row r="273" spans="1:119" x14ac:dyDescent="0.25">
      <c r="A273" s="153">
        <f t="shared" si="113"/>
        <v>45483</v>
      </c>
      <c r="B273" s="154"/>
      <c r="C273" s="154"/>
      <c r="D273" s="154"/>
      <c r="E273" s="875" t="str">
        <f t="shared" ca="1" si="57"/>
        <v/>
      </c>
      <c r="F273" s="876"/>
      <c r="G273" s="667">
        <f ca="1">MAX(0,(N_ArbeitsstundenSollProKT*BU273-BV273)*OFFSET(BI273,0,AE273,1,1))</f>
        <v>0</v>
      </c>
      <c r="H273" s="667">
        <f t="shared" ca="1" si="58"/>
        <v>0</v>
      </c>
      <c r="I273" s="667">
        <f t="shared" ca="1" si="59"/>
        <v>0</v>
      </c>
      <c r="P273" s="151">
        <f t="shared" si="60"/>
        <v>125</v>
      </c>
      <c r="R273" s="55">
        <f t="shared" si="61"/>
        <v>0</v>
      </c>
      <c r="S273" s="55">
        <f t="shared" si="62"/>
        <v>1</v>
      </c>
      <c r="U273" s="226">
        <f t="shared" si="63"/>
        <v>0</v>
      </c>
      <c r="V273" s="137">
        <f t="shared" ca="1" si="64"/>
        <v>0</v>
      </c>
      <c r="W273" s="137">
        <f t="shared" si="65"/>
        <v>0</v>
      </c>
      <c r="X273" s="137">
        <f t="shared" si="66"/>
        <v>0</v>
      </c>
      <c r="Y273" s="137">
        <f t="shared" ca="1" si="67"/>
        <v>0</v>
      </c>
      <c r="Z273" s="137">
        <f t="shared" ca="1" si="68"/>
        <v>0</v>
      </c>
      <c r="AA273" s="137">
        <f t="shared" ca="1" si="69"/>
        <v>0</v>
      </c>
      <c r="AB273" s="137">
        <f t="shared" ca="1" si="70"/>
        <v>0</v>
      </c>
      <c r="AC273" s="137">
        <f t="shared" ca="1" si="71"/>
        <v>0</v>
      </c>
      <c r="AD273" s="137">
        <f t="shared" ca="1" si="72"/>
        <v>0</v>
      </c>
      <c r="AE273" s="223">
        <f t="shared" ca="1" si="73"/>
        <v>0</v>
      </c>
      <c r="AF273" s="229" t="str">
        <f t="shared" ca="1" si="74"/>
        <v/>
      </c>
      <c r="AH273" s="235">
        <f t="shared" si="75"/>
        <v>45483</v>
      </c>
      <c r="AI273" s="137">
        <f t="shared" ca="1" si="76"/>
        <v>0</v>
      </c>
      <c r="AJ273" s="137">
        <f t="shared" si="77"/>
        <v>0</v>
      </c>
      <c r="AK273" s="137">
        <f t="shared" ca="1" si="78"/>
        <v>0</v>
      </c>
      <c r="AL273" s="137">
        <f t="shared" ca="1" si="79"/>
        <v>0</v>
      </c>
      <c r="AM273" s="137">
        <f t="shared" si="80"/>
        <v>0</v>
      </c>
      <c r="AN273" s="137">
        <f t="shared" ca="1" si="81"/>
        <v>0</v>
      </c>
      <c r="AO273" s="137">
        <f t="shared" ca="1" si="82"/>
        <v>0</v>
      </c>
      <c r="AP273" s="137">
        <f t="shared" ca="1" si="83"/>
        <v>0</v>
      </c>
      <c r="AQ273" s="137">
        <f t="shared" si="84"/>
        <v>0</v>
      </c>
      <c r="AR273" s="236">
        <f t="shared" ca="1" si="85"/>
        <v>0</v>
      </c>
      <c r="AT273" s="241">
        <f t="shared" ca="1" si="86"/>
        <v>28</v>
      </c>
      <c r="AV273" s="222">
        <f t="shared" ca="1" si="87"/>
        <v>0</v>
      </c>
      <c r="AW273" s="247">
        <f t="shared" si="88"/>
        <v>91</v>
      </c>
      <c r="AY273" s="239">
        <f ca="1">(AE273=5)*('  B  '!F$110=1)*OR(AND(AND(A273&gt;=S$220,A273&gt;=I$214),AND(A273&lt;=S$221,A273&lt;=I$215)),AND(AND(A273&gt;=S$230,A273&gt;=I$224),AND(A273&lt;=S$231,A273&lt;=I$225)),AND(AND(A273&gt;=S$240,A273&gt;=I$234),AND(A273&lt;=S$241,A273&lt;=I$235)))</f>
        <v>0</v>
      </c>
      <c r="BA273" s="222">
        <f t="shared" ca="1" si="89"/>
        <v>0</v>
      </c>
      <c r="BB273" s="55">
        <f t="shared" ca="1" si="90"/>
        <v>0</v>
      </c>
      <c r="BC273" s="247">
        <f t="shared" si="91"/>
        <v>184</v>
      </c>
      <c r="BE273" s="239">
        <f t="shared" ca="1" si="92"/>
        <v>0</v>
      </c>
      <c r="BG273" s="239">
        <f t="shared" ca="1" si="93"/>
        <v>0</v>
      </c>
      <c r="BI273" s="222"/>
      <c r="BJ273" s="137">
        <v>0</v>
      </c>
      <c r="BK273" s="137">
        <v>0</v>
      </c>
      <c r="BL273" s="137">
        <f t="shared" ca="1" si="94"/>
        <v>1</v>
      </c>
      <c r="BM273" s="137">
        <f t="shared" ca="1" si="95"/>
        <v>1</v>
      </c>
      <c r="BN273" s="137">
        <f ca="1">(A273&gt;=N_LFP_Startdatum)*IF('  B  '!F$110=1,NOT(OR(A273&gt;S$221,A273&gt;S$231,A273&gt;S$241)),IF(BB273&gt;BC273,0,1))</f>
        <v>1</v>
      </c>
      <c r="BO273" s="137">
        <f t="shared" ca="1" si="96"/>
        <v>1</v>
      </c>
      <c r="BP273" s="137">
        <v>0</v>
      </c>
      <c r="BQ273" s="137">
        <f t="shared" ca="1" si="97"/>
        <v>1</v>
      </c>
      <c r="BR273" s="653">
        <v>0</v>
      </c>
      <c r="BS273" s="224">
        <f ca="1">(A273&gt;=N_LFP_Startdatum)*IF('  B  '!F$110=1,NOT(OR(A273&gt;S$221,A273&gt;S$231,A273&gt;S$241)),IF(BB273&gt;BC273,0,1))</f>
        <v>1</v>
      </c>
      <c r="BU273" s="562">
        <f t="shared" ca="1" si="98"/>
        <v>0</v>
      </c>
      <c r="BV273" s="156">
        <f ca="1">(R273=0)*MAX(0,(B273+C273+IF(ISERROR(N_NachtStufe),0,D273*OFFSET(Vorgabewerte!E$10:E$14,N_NachtStufe,0,1,1)))-(1-BU273)*N_ArbeitsstundenSollProKT)</f>
        <v>0</v>
      </c>
      <c r="BW273" s="156"/>
      <c r="BX273" s="156">
        <f ca="1">(AE273=5)*('  B  '!F$110=1)*(1-'  B  '!F$113+(AY273*'  B  '!F$114))*(G273*IF(N_ArbeitsstundenSollProKT&gt;0,N_Monatslohn/(P$2*N_ArbeitsstundenSollProKT),0))</f>
        <v>0</v>
      </c>
      <c r="BY273" s="156">
        <f ca="1">((BE273&gt;0)*(1-'  B  '!F$105)+(BE273&gt;'  B  '!F$104)*'  B  '!F$106)*(G273*IF(N_ArbeitsstundenSollProKT&gt;0,N_Monatslohn/(P$2*N_ArbeitsstundenSollProKT),0))</f>
        <v>0</v>
      </c>
      <c r="BZ273" s="156">
        <f t="shared" ca="1" si="99"/>
        <v>0</v>
      </c>
      <c r="CA273" s="156">
        <f t="shared" ca="1" si="100"/>
        <v>0</v>
      </c>
      <c r="CB273" s="156"/>
      <c r="CC273" s="156">
        <f ca="1">(AE273=5)*('  B  '!F$113-(AY273*'  B  '!F$114))*G273*CF$260</f>
        <v>0</v>
      </c>
      <c r="CD273" s="156">
        <f ca="1">((BE273&gt;0)*'  B  '!F$105-(BE273&gt;N_Wartefrist_Unfall)*'  B  '!F$106)*(G273*CF$260)</f>
        <v>0</v>
      </c>
      <c r="CE273" s="156">
        <f ca="1">OR(AE273&lt;5,AE273&gt;6)*G273*OFFSET(Vorgabewerte!C$56,AE273,0,1,1)*CF$260</f>
        <v>0</v>
      </c>
      <c r="CF273" s="156">
        <f t="shared" ca="1" si="101"/>
        <v>0</v>
      </c>
      <c r="CH273" s="270">
        <f ca="1">(AY273=1)*'  B  '!F$114*G273*(N_BruttoStundenSatz_Monatslohn+CF$260)</f>
        <v>0</v>
      </c>
      <c r="CI273" s="270">
        <f ca="1">(BE273&gt;N_Wartefrist_Unfall)*'  B  '!F$106*G273*(N_BruttoStundenSatz_Monatslohn+CF$260)</f>
        <v>0</v>
      </c>
      <c r="CJ273" s="270">
        <f ca="1">IF(VLOOKUP('  B  '!C$65,A_JaNein_Auswahl,2,0)=1,(CH273+CI273)/12,0)</f>
        <v>0</v>
      </c>
      <c r="CK273" s="284">
        <f t="shared" ca="1" si="102"/>
        <v>0</v>
      </c>
      <c r="CL273" s="270">
        <f t="shared" ca="1" si="103"/>
        <v>0</v>
      </c>
      <c r="CM273" s="265">
        <f t="shared" ca="1" si="104"/>
        <v>0</v>
      </c>
      <c r="CO273" s="222"/>
      <c r="CP273" s="137">
        <v>0</v>
      </c>
      <c r="CQ273" s="137">
        <v>0</v>
      </c>
      <c r="CR273" s="137">
        <v>0</v>
      </c>
      <c r="CS273" s="137">
        <f t="shared" ca="1" si="105"/>
        <v>0</v>
      </c>
      <c r="CT273" s="137">
        <f t="shared" ca="1" si="106"/>
        <v>0</v>
      </c>
      <c r="CU273" s="137">
        <f t="shared" ca="1" si="107"/>
        <v>0</v>
      </c>
      <c r="CV273" s="137">
        <v>0</v>
      </c>
      <c r="CW273" s="137">
        <f t="shared" ca="1" si="108"/>
        <v>0</v>
      </c>
      <c r="CX273" s="137">
        <v>0</v>
      </c>
      <c r="CY273" s="224">
        <f t="shared" ca="1" si="109"/>
        <v>0</v>
      </c>
      <c r="DA273" s="260">
        <f ca="1">(AE273=4)*I273*OFFSET(Vorgabewerte!D$56,AE273,0,1,1)*DB$259</f>
        <v>0</v>
      </c>
      <c r="DB273" s="379">
        <f ca="1">(AE273=5)*IF('  B  '!F$110=1,IF(NOT(AY273=1),I273*'  B  '!F$113*MIN(DB$259,DB$260),I273*MAX(0,OFFSET(Vorgabewerte!D$56,AE273,0,1,1)-'  B  '!F$114)*MIN(DB$259,DB$260)),I273*OFFSET(Vorgabewerte!D$56,AE273,0,1,1)*MIN(DB$259,DB$260))</f>
        <v>0</v>
      </c>
      <c r="DC273" s="379">
        <f ca="1">(AE273=6)*IF(NOT(BE273&gt;N_Wartefrist_Unfall),I273*'  B  '!F$105*MIN(DB$259,DB$260),I273*MAX(0,OFFSET(Vorgabewerte!D$56,AE273,0,1,1)-'  B  '!F$106)*MIN(DB$259,DB$260))</f>
        <v>0</v>
      </c>
      <c r="DD273" s="255">
        <f ca="1">NOT(OR(AE273=4,AE273=5,AE273=6))*I273*OFFSET(Vorgabewerte!D$56,AE273,0,1,1)*MIN(DB$259,DB$260)</f>
        <v>0</v>
      </c>
      <c r="DE273" s="278">
        <f t="shared" ca="1" si="110"/>
        <v>0</v>
      </c>
      <c r="DF273" s="279">
        <f t="shared" ca="1" si="111"/>
        <v>0</v>
      </c>
      <c r="DG273" s="280">
        <f t="shared" ca="1" si="112"/>
        <v>0</v>
      </c>
      <c r="DI273" s="260">
        <f ca="1">(AE273=4)*I273*OFFSET(Vorgabewerte!D$56,AE273,0,1,1)*DJ$260</f>
        <v>0</v>
      </c>
      <c r="DJ273" s="379">
        <f ca="1">(AE273=5)*IF('  B  '!F$110=1,IF(NOT(AY273=1),I273*'  B  '!F$113*DJ$260,I273*MAX(0,OFFSET(Vorgabewerte!D$56,AE273,0,1,1)-'  B  '!F$114)*DJ$260),I273*OFFSET(Vorgabewerte!D$56,AE273,0,1,1)*DJ$260)</f>
        <v>0</v>
      </c>
      <c r="DK273" s="379">
        <f ca="1">(AE273=6)*IF(NOT(BE273&gt;N_Wartefrist_Unfall),I273*'  B  '!F$105*DJ$260,I273*MAX(0,OFFSET(Vorgabewerte!D$56,AE273,0,1,1)-'  B  '!F$106)*DJ$260)</f>
        <v>0</v>
      </c>
      <c r="DL273" s="255">
        <f ca="1">NOT(OR(AM273=4,AM273=5,AM273=6))*Q273*OFFSET(Vorgabewerte!L$56,AM273,0,1,1)*DJ$260</f>
        <v>0</v>
      </c>
      <c r="DM273" s="674">
        <f t="shared" ca="1" si="115"/>
        <v>0</v>
      </c>
      <c r="DN273" s="279">
        <f t="shared" ca="1" si="116"/>
        <v>0</v>
      </c>
      <c r="DO273" s="279">
        <f t="shared" ca="1" si="117"/>
        <v>0</v>
      </c>
    </row>
    <row r="274" spans="1:119" x14ac:dyDescent="0.25">
      <c r="A274" s="153">
        <f t="shared" si="113"/>
        <v>45484</v>
      </c>
      <c r="B274" s="154"/>
      <c r="C274" s="154"/>
      <c r="D274" s="154"/>
      <c r="E274" s="875" t="str">
        <f t="shared" ca="1" si="57"/>
        <v/>
      </c>
      <c r="F274" s="876"/>
      <c r="G274" s="667">
        <f t="shared" ca="1" si="114"/>
        <v>0</v>
      </c>
      <c r="H274" s="667">
        <f t="shared" ca="1" si="58"/>
        <v>0</v>
      </c>
      <c r="I274" s="667">
        <f t="shared" ca="1" si="59"/>
        <v>0</v>
      </c>
      <c r="P274" s="151">
        <f t="shared" si="60"/>
        <v>125</v>
      </c>
      <c r="R274" s="55">
        <f t="shared" si="61"/>
        <v>0</v>
      </c>
      <c r="S274" s="55">
        <f t="shared" si="62"/>
        <v>1</v>
      </c>
      <c r="U274" s="226">
        <f t="shared" si="63"/>
        <v>0</v>
      </c>
      <c r="V274" s="137">
        <f t="shared" ca="1" si="64"/>
        <v>0</v>
      </c>
      <c r="W274" s="137">
        <f t="shared" si="65"/>
        <v>0</v>
      </c>
      <c r="X274" s="137">
        <f t="shared" si="66"/>
        <v>0</v>
      </c>
      <c r="Y274" s="137">
        <f t="shared" ca="1" si="67"/>
        <v>0</v>
      </c>
      <c r="Z274" s="137">
        <f t="shared" ca="1" si="68"/>
        <v>0</v>
      </c>
      <c r="AA274" s="137">
        <f t="shared" ca="1" si="69"/>
        <v>0</v>
      </c>
      <c r="AB274" s="137">
        <f t="shared" ca="1" si="70"/>
        <v>0</v>
      </c>
      <c r="AC274" s="137">
        <f t="shared" ca="1" si="71"/>
        <v>0</v>
      </c>
      <c r="AD274" s="137">
        <f t="shared" ca="1" si="72"/>
        <v>0</v>
      </c>
      <c r="AE274" s="223">
        <f t="shared" ca="1" si="73"/>
        <v>0</v>
      </c>
      <c r="AF274" s="229" t="str">
        <f t="shared" ca="1" si="74"/>
        <v/>
      </c>
      <c r="AH274" s="235">
        <f t="shared" si="75"/>
        <v>45484</v>
      </c>
      <c r="AI274" s="137">
        <f t="shared" ca="1" si="76"/>
        <v>0</v>
      </c>
      <c r="AJ274" s="137">
        <f t="shared" si="77"/>
        <v>0</v>
      </c>
      <c r="AK274" s="137">
        <f t="shared" ca="1" si="78"/>
        <v>0</v>
      </c>
      <c r="AL274" s="137">
        <f t="shared" ca="1" si="79"/>
        <v>0</v>
      </c>
      <c r="AM274" s="137">
        <f t="shared" si="80"/>
        <v>0</v>
      </c>
      <c r="AN274" s="137">
        <f t="shared" ca="1" si="81"/>
        <v>0</v>
      </c>
      <c r="AO274" s="137">
        <f t="shared" ca="1" si="82"/>
        <v>0</v>
      </c>
      <c r="AP274" s="137">
        <f t="shared" ca="1" si="83"/>
        <v>0</v>
      </c>
      <c r="AQ274" s="137">
        <f t="shared" si="84"/>
        <v>0</v>
      </c>
      <c r="AR274" s="236">
        <f t="shared" ca="1" si="85"/>
        <v>0</v>
      </c>
      <c r="AT274" s="241">
        <f t="shared" ca="1" si="86"/>
        <v>28</v>
      </c>
      <c r="AV274" s="222">
        <f t="shared" ca="1" si="87"/>
        <v>0</v>
      </c>
      <c r="AW274" s="247">
        <f t="shared" si="88"/>
        <v>91</v>
      </c>
      <c r="AY274" s="239">
        <f ca="1">(AE274=5)*('  B  '!F$110=1)*OR(AND(AND(A274&gt;=S$220,A274&gt;=I$214),AND(A274&lt;=S$221,A274&lt;=I$215)),AND(AND(A274&gt;=S$230,A274&gt;=I$224),AND(A274&lt;=S$231,A274&lt;=I$225)),AND(AND(A274&gt;=S$240,A274&gt;=I$234),AND(A274&lt;=S$241,A274&lt;=I$235)))</f>
        <v>0</v>
      </c>
      <c r="BA274" s="222">
        <f t="shared" ca="1" si="89"/>
        <v>0</v>
      </c>
      <c r="BB274" s="55">
        <f t="shared" ca="1" si="90"/>
        <v>0</v>
      </c>
      <c r="BC274" s="247">
        <f t="shared" si="91"/>
        <v>184</v>
      </c>
      <c r="BE274" s="239">
        <f t="shared" ca="1" si="92"/>
        <v>0</v>
      </c>
      <c r="BG274" s="239">
        <f t="shared" ca="1" si="93"/>
        <v>0</v>
      </c>
      <c r="BI274" s="222"/>
      <c r="BJ274" s="137">
        <v>0</v>
      </c>
      <c r="BK274" s="137">
        <v>0</v>
      </c>
      <c r="BL274" s="137">
        <f t="shared" ca="1" si="94"/>
        <v>1</v>
      </c>
      <c r="BM274" s="137">
        <f t="shared" ca="1" si="95"/>
        <v>1</v>
      </c>
      <c r="BN274" s="137">
        <f ca="1">(A274&gt;=N_LFP_Startdatum)*IF('  B  '!F$110=1,NOT(OR(A274&gt;S$221,A274&gt;S$231,A274&gt;S$241)),IF(BB274&gt;BC274,0,1))</f>
        <v>1</v>
      </c>
      <c r="BO274" s="137">
        <f t="shared" ca="1" si="96"/>
        <v>1</v>
      </c>
      <c r="BP274" s="137">
        <v>0</v>
      </c>
      <c r="BQ274" s="137">
        <f t="shared" ca="1" si="97"/>
        <v>1</v>
      </c>
      <c r="BR274" s="653">
        <v>0</v>
      </c>
      <c r="BS274" s="224">
        <f ca="1">(A274&gt;=N_LFP_Startdatum)*IF('  B  '!F$110=1,NOT(OR(A274&gt;S$221,A274&gt;S$231,A274&gt;S$241)),IF(BB274&gt;BC274,0,1))</f>
        <v>1</v>
      </c>
      <c r="BU274" s="562">
        <f t="shared" ca="1" si="98"/>
        <v>0</v>
      </c>
      <c r="BV274" s="156">
        <f ca="1">(R274=0)*MAX(0,(B274+C274+IF(ISERROR(N_NachtStufe),0,D274*OFFSET(Vorgabewerte!E$10:E$14,N_NachtStufe,0,1,1)))-(1-BU274)*N_ArbeitsstundenSollProKT)</f>
        <v>0</v>
      </c>
      <c r="BW274" s="156"/>
      <c r="BX274" s="156">
        <f ca="1">(AE274=5)*('  B  '!F$110=1)*(1-'  B  '!F$113+(AY274*'  B  '!F$114))*(G274*IF(N_ArbeitsstundenSollProKT&gt;0,N_Monatslohn/(P$2*N_ArbeitsstundenSollProKT),0))</f>
        <v>0</v>
      </c>
      <c r="BY274" s="156">
        <f ca="1">((BE274&gt;0)*(1-'  B  '!F$105)+(BE274&gt;'  B  '!F$104)*'  B  '!F$106)*(G274*IF(N_ArbeitsstundenSollProKT&gt;0,N_Monatslohn/(P$2*N_ArbeitsstundenSollProKT),0))</f>
        <v>0</v>
      </c>
      <c r="BZ274" s="156">
        <f t="shared" ca="1" si="99"/>
        <v>0</v>
      </c>
      <c r="CA274" s="156">
        <f t="shared" ca="1" si="100"/>
        <v>0</v>
      </c>
      <c r="CB274" s="156"/>
      <c r="CC274" s="156">
        <f ca="1">(AE274=5)*('  B  '!F$113-(AY274*'  B  '!F$114))*G274*CF$260</f>
        <v>0</v>
      </c>
      <c r="CD274" s="156">
        <f ca="1">((BE274&gt;0)*'  B  '!F$105-(BE274&gt;N_Wartefrist_Unfall)*'  B  '!F$106)*(G274*CF$260)</f>
        <v>0</v>
      </c>
      <c r="CE274" s="156">
        <f ca="1">OR(AE274&lt;5,AE274&gt;6)*G274*OFFSET(Vorgabewerte!C$56,AE274,0,1,1)*CF$260</f>
        <v>0</v>
      </c>
      <c r="CF274" s="156">
        <f t="shared" ca="1" si="101"/>
        <v>0</v>
      </c>
      <c r="CH274" s="270">
        <f ca="1">(AY274=1)*'  B  '!F$114*G274*(N_BruttoStundenSatz_Monatslohn+CF$260)</f>
        <v>0</v>
      </c>
      <c r="CI274" s="270">
        <f ca="1">(BE274&gt;N_Wartefrist_Unfall)*'  B  '!F$106*G274*(N_BruttoStundenSatz_Monatslohn+CF$260)</f>
        <v>0</v>
      </c>
      <c r="CJ274" s="270">
        <f ca="1">IF(VLOOKUP('  B  '!C$65,A_JaNein_Auswahl,2,0)=1,(CH274+CI274)/12,0)</f>
        <v>0</v>
      </c>
      <c r="CK274" s="284">
        <f t="shared" ca="1" si="102"/>
        <v>0</v>
      </c>
      <c r="CL274" s="270">
        <f t="shared" ca="1" si="103"/>
        <v>0</v>
      </c>
      <c r="CM274" s="265">
        <f t="shared" ca="1" si="104"/>
        <v>0</v>
      </c>
      <c r="CO274" s="222"/>
      <c r="CP274" s="137">
        <v>0</v>
      </c>
      <c r="CQ274" s="137">
        <v>0</v>
      </c>
      <c r="CR274" s="137">
        <v>0</v>
      </c>
      <c r="CS274" s="137">
        <f t="shared" ca="1" si="105"/>
        <v>0</v>
      </c>
      <c r="CT274" s="137">
        <f t="shared" ca="1" si="106"/>
        <v>0</v>
      </c>
      <c r="CU274" s="137">
        <f t="shared" ca="1" si="107"/>
        <v>0</v>
      </c>
      <c r="CV274" s="137">
        <v>0</v>
      </c>
      <c r="CW274" s="137">
        <f t="shared" ca="1" si="108"/>
        <v>0</v>
      </c>
      <c r="CX274" s="137">
        <v>0</v>
      </c>
      <c r="CY274" s="224">
        <f t="shared" ca="1" si="109"/>
        <v>0</v>
      </c>
      <c r="DA274" s="260">
        <f ca="1">(AE274=4)*I274*OFFSET(Vorgabewerte!D$56,AE274,0,1,1)*DB$259</f>
        <v>0</v>
      </c>
      <c r="DB274" s="379">
        <f ca="1">(AE274=5)*IF('  B  '!F$110=1,IF(NOT(AY274=1),I274*'  B  '!F$113*MIN(DB$259,DB$260),I274*MAX(0,OFFSET(Vorgabewerte!D$56,AE274,0,1,1)-'  B  '!F$114)*MIN(DB$259,DB$260)),I274*OFFSET(Vorgabewerte!D$56,AE274,0,1,1)*MIN(DB$259,DB$260))</f>
        <v>0</v>
      </c>
      <c r="DC274" s="379">
        <f ca="1">(AE274=6)*IF(NOT(BE274&gt;N_Wartefrist_Unfall),I274*'  B  '!F$105*MIN(DB$259,DB$260),I274*MAX(0,OFFSET(Vorgabewerte!D$56,AE274,0,1,1)-'  B  '!F$106)*MIN(DB$259,DB$260))</f>
        <v>0</v>
      </c>
      <c r="DD274" s="255">
        <f ca="1">NOT(OR(AE274=4,AE274=5,AE274=6))*I274*OFFSET(Vorgabewerte!D$56,AE274,0,1,1)*MIN(DB$259,DB$260)</f>
        <v>0</v>
      </c>
      <c r="DE274" s="278">
        <f t="shared" ca="1" si="110"/>
        <v>0</v>
      </c>
      <c r="DF274" s="279">
        <f t="shared" ca="1" si="111"/>
        <v>0</v>
      </c>
      <c r="DG274" s="280">
        <f t="shared" ca="1" si="112"/>
        <v>0</v>
      </c>
      <c r="DI274" s="260">
        <f ca="1">(AE274=4)*I274*OFFSET(Vorgabewerte!D$56,AE274,0,1,1)*DJ$260</f>
        <v>0</v>
      </c>
      <c r="DJ274" s="379">
        <f ca="1">(AE274=5)*IF('  B  '!F$110=1,IF(NOT(AY274=1),I274*'  B  '!F$113*DJ$260,I274*MAX(0,OFFSET(Vorgabewerte!D$56,AE274,0,1,1)-'  B  '!F$114)*DJ$260),I274*OFFSET(Vorgabewerte!D$56,AE274,0,1,1)*DJ$260)</f>
        <v>0</v>
      </c>
      <c r="DK274" s="379">
        <f ca="1">(AE274=6)*IF(NOT(BE274&gt;N_Wartefrist_Unfall),I274*'  B  '!F$105*DJ$260,I274*MAX(0,OFFSET(Vorgabewerte!D$56,AE274,0,1,1)-'  B  '!F$106)*DJ$260)</f>
        <v>0</v>
      </c>
      <c r="DL274" s="255">
        <f ca="1">NOT(OR(AM274=4,AM274=5,AM274=6))*Q274*OFFSET(Vorgabewerte!L$56,AM274,0,1,1)*DJ$260</f>
        <v>0</v>
      </c>
      <c r="DM274" s="674">
        <f t="shared" ca="1" si="115"/>
        <v>0</v>
      </c>
      <c r="DN274" s="279">
        <f t="shared" ca="1" si="116"/>
        <v>0</v>
      </c>
      <c r="DO274" s="279">
        <f t="shared" ca="1" si="117"/>
        <v>0</v>
      </c>
    </row>
    <row r="275" spans="1:119" x14ac:dyDescent="0.25">
      <c r="A275" s="153">
        <f t="shared" si="113"/>
        <v>45485</v>
      </c>
      <c r="B275" s="154"/>
      <c r="C275" s="154"/>
      <c r="D275" s="154"/>
      <c r="E275" s="875" t="str">
        <f t="shared" ca="1" si="57"/>
        <v/>
      </c>
      <c r="F275" s="876"/>
      <c r="G275" s="667">
        <f t="shared" ca="1" si="114"/>
        <v>0</v>
      </c>
      <c r="H275" s="667">
        <f t="shared" ca="1" si="58"/>
        <v>0</v>
      </c>
      <c r="I275" s="667">
        <f t="shared" ca="1" si="59"/>
        <v>0</v>
      </c>
      <c r="P275" s="151">
        <f t="shared" si="60"/>
        <v>125</v>
      </c>
      <c r="R275" s="55">
        <f t="shared" si="61"/>
        <v>0</v>
      </c>
      <c r="S275" s="55">
        <f t="shared" si="62"/>
        <v>1</v>
      </c>
      <c r="U275" s="226">
        <f t="shared" si="63"/>
        <v>0</v>
      </c>
      <c r="V275" s="137">
        <f t="shared" ca="1" si="64"/>
        <v>0</v>
      </c>
      <c r="W275" s="137">
        <f t="shared" si="65"/>
        <v>0</v>
      </c>
      <c r="X275" s="137">
        <f t="shared" si="66"/>
        <v>0</v>
      </c>
      <c r="Y275" s="137">
        <f t="shared" ca="1" si="67"/>
        <v>0</v>
      </c>
      <c r="Z275" s="137">
        <f t="shared" ca="1" si="68"/>
        <v>0</v>
      </c>
      <c r="AA275" s="137">
        <f t="shared" ca="1" si="69"/>
        <v>0</v>
      </c>
      <c r="AB275" s="137">
        <f t="shared" ca="1" si="70"/>
        <v>0</v>
      </c>
      <c r="AC275" s="137">
        <f t="shared" ca="1" si="71"/>
        <v>0</v>
      </c>
      <c r="AD275" s="137">
        <f t="shared" ca="1" si="72"/>
        <v>0</v>
      </c>
      <c r="AE275" s="223">
        <f t="shared" ca="1" si="73"/>
        <v>0</v>
      </c>
      <c r="AF275" s="229" t="str">
        <f t="shared" ca="1" si="74"/>
        <v/>
      </c>
      <c r="AH275" s="235">
        <f t="shared" si="75"/>
        <v>45485</v>
      </c>
      <c r="AI275" s="137">
        <f t="shared" ca="1" si="76"/>
        <v>0</v>
      </c>
      <c r="AJ275" s="137">
        <f t="shared" si="77"/>
        <v>0</v>
      </c>
      <c r="AK275" s="137">
        <f t="shared" ca="1" si="78"/>
        <v>0</v>
      </c>
      <c r="AL275" s="137">
        <f t="shared" ca="1" si="79"/>
        <v>0</v>
      </c>
      <c r="AM275" s="137">
        <f t="shared" si="80"/>
        <v>0</v>
      </c>
      <c r="AN275" s="137">
        <f t="shared" ca="1" si="81"/>
        <v>0</v>
      </c>
      <c r="AO275" s="137">
        <f t="shared" ca="1" si="82"/>
        <v>0</v>
      </c>
      <c r="AP275" s="137">
        <f t="shared" ca="1" si="83"/>
        <v>0</v>
      </c>
      <c r="AQ275" s="137">
        <f t="shared" si="84"/>
        <v>0</v>
      </c>
      <c r="AR275" s="236">
        <f t="shared" ca="1" si="85"/>
        <v>0</v>
      </c>
      <c r="AT275" s="241">
        <f t="shared" ca="1" si="86"/>
        <v>28</v>
      </c>
      <c r="AV275" s="222">
        <f t="shared" ca="1" si="87"/>
        <v>0</v>
      </c>
      <c r="AW275" s="247">
        <f t="shared" si="88"/>
        <v>91</v>
      </c>
      <c r="AY275" s="239">
        <f ca="1">(AE275=5)*('  B  '!F$110=1)*OR(AND(AND(A275&gt;=S$220,A275&gt;=I$214),AND(A275&lt;=S$221,A275&lt;=I$215)),AND(AND(A275&gt;=S$230,A275&gt;=I$224),AND(A275&lt;=S$231,A275&lt;=I$225)),AND(AND(A275&gt;=S$240,A275&gt;=I$234),AND(A275&lt;=S$241,A275&lt;=I$235)))</f>
        <v>0</v>
      </c>
      <c r="BA275" s="222">
        <f t="shared" ca="1" si="89"/>
        <v>0</v>
      </c>
      <c r="BB275" s="55">
        <f t="shared" ca="1" si="90"/>
        <v>0</v>
      </c>
      <c r="BC275" s="247">
        <f t="shared" si="91"/>
        <v>184</v>
      </c>
      <c r="BE275" s="239">
        <f t="shared" ca="1" si="92"/>
        <v>0</v>
      </c>
      <c r="BG275" s="239">
        <f t="shared" ca="1" si="93"/>
        <v>0</v>
      </c>
      <c r="BI275" s="222"/>
      <c r="BJ275" s="137">
        <v>0</v>
      </c>
      <c r="BK275" s="137">
        <v>0</v>
      </c>
      <c r="BL275" s="137">
        <f t="shared" ca="1" si="94"/>
        <v>1</v>
      </c>
      <c r="BM275" s="137">
        <f t="shared" ca="1" si="95"/>
        <v>1</v>
      </c>
      <c r="BN275" s="137">
        <f ca="1">(A275&gt;=N_LFP_Startdatum)*IF('  B  '!F$110=1,NOT(OR(A275&gt;S$221,A275&gt;S$231,A275&gt;S$241)),IF(BB275&gt;BC275,0,1))</f>
        <v>1</v>
      </c>
      <c r="BO275" s="137">
        <f t="shared" ca="1" si="96"/>
        <v>1</v>
      </c>
      <c r="BP275" s="137">
        <v>0</v>
      </c>
      <c r="BQ275" s="137">
        <f t="shared" ca="1" si="97"/>
        <v>1</v>
      </c>
      <c r="BR275" s="653">
        <v>0</v>
      </c>
      <c r="BS275" s="224">
        <f ca="1">(A275&gt;=N_LFP_Startdatum)*IF('  B  '!F$110=1,NOT(OR(A275&gt;S$221,A275&gt;S$231,A275&gt;S$241)),IF(BB275&gt;BC275,0,1))</f>
        <v>1</v>
      </c>
      <c r="BU275" s="562">
        <f t="shared" ca="1" si="98"/>
        <v>0</v>
      </c>
      <c r="BV275" s="156">
        <f ca="1">(R275=0)*MAX(0,(B275+C275+IF(ISERROR(N_NachtStufe),0,D275*OFFSET(Vorgabewerte!E$10:E$14,N_NachtStufe,0,1,1)))-(1-BU275)*N_ArbeitsstundenSollProKT)</f>
        <v>0</v>
      </c>
      <c r="BW275" s="156"/>
      <c r="BX275" s="156">
        <f ca="1">(AE275=5)*('  B  '!F$110=1)*(1-'  B  '!F$113+(AY275*'  B  '!F$114))*(G275*IF(N_ArbeitsstundenSollProKT&gt;0,N_Monatslohn/(P$2*N_ArbeitsstundenSollProKT),0))</f>
        <v>0</v>
      </c>
      <c r="BY275" s="156">
        <f ca="1">((BE275&gt;0)*(1-'  B  '!F$105)+(BE275&gt;'  B  '!F$104)*'  B  '!F$106)*(G275*IF(N_ArbeitsstundenSollProKT&gt;0,N_Monatslohn/(P$2*N_ArbeitsstundenSollProKT),0))</f>
        <v>0</v>
      </c>
      <c r="BZ275" s="156">
        <f t="shared" ca="1" si="99"/>
        <v>0</v>
      </c>
      <c r="CA275" s="156">
        <f t="shared" ca="1" si="100"/>
        <v>0</v>
      </c>
      <c r="CB275" s="156"/>
      <c r="CC275" s="156">
        <f ca="1">(AE275=5)*('  B  '!F$113-(AY275*'  B  '!F$114))*G275*CF$260</f>
        <v>0</v>
      </c>
      <c r="CD275" s="156">
        <f ca="1">((BE275&gt;0)*'  B  '!F$105-(BE275&gt;N_Wartefrist_Unfall)*'  B  '!F$106)*(G275*CF$260)</f>
        <v>0</v>
      </c>
      <c r="CE275" s="156">
        <f ca="1">OR(AE275&lt;5,AE275&gt;6)*G275*OFFSET(Vorgabewerte!C$56,AE275,0,1,1)*CF$260</f>
        <v>0</v>
      </c>
      <c r="CF275" s="156">
        <f t="shared" ca="1" si="101"/>
        <v>0</v>
      </c>
      <c r="CH275" s="270">
        <f ca="1">(AY275=1)*'  B  '!F$114*G275*(N_BruttoStundenSatz_Monatslohn+CF$260)</f>
        <v>0</v>
      </c>
      <c r="CI275" s="270">
        <f ca="1">(BE275&gt;N_Wartefrist_Unfall)*'  B  '!F$106*G275*(N_BruttoStundenSatz_Monatslohn+CF$260)</f>
        <v>0</v>
      </c>
      <c r="CJ275" s="270">
        <f ca="1">IF(VLOOKUP('  B  '!C$65,A_JaNein_Auswahl,2,0)=1,(CH275+CI275)/12,0)</f>
        <v>0</v>
      </c>
      <c r="CK275" s="284">
        <f t="shared" ca="1" si="102"/>
        <v>0</v>
      </c>
      <c r="CL275" s="270">
        <f t="shared" ca="1" si="103"/>
        <v>0</v>
      </c>
      <c r="CM275" s="265">
        <f t="shared" ca="1" si="104"/>
        <v>0</v>
      </c>
      <c r="CO275" s="222"/>
      <c r="CP275" s="137">
        <v>0</v>
      </c>
      <c r="CQ275" s="137">
        <v>0</v>
      </c>
      <c r="CR275" s="137">
        <v>0</v>
      </c>
      <c r="CS275" s="137">
        <f t="shared" ca="1" si="105"/>
        <v>0</v>
      </c>
      <c r="CT275" s="137">
        <f t="shared" ca="1" si="106"/>
        <v>0</v>
      </c>
      <c r="CU275" s="137">
        <f t="shared" ca="1" si="107"/>
        <v>0</v>
      </c>
      <c r="CV275" s="137">
        <v>0</v>
      </c>
      <c r="CW275" s="137">
        <f t="shared" ca="1" si="108"/>
        <v>0</v>
      </c>
      <c r="CX275" s="137">
        <v>0</v>
      </c>
      <c r="CY275" s="224">
        <f t="shared" ca="1" si="109"/>
        <v>0</v>
      </c>
      <c r="DA275" s="260">
        <f ca="1">(AE275=4)*I275*OFFSET(Vorgabewerte!D$56,AE275,0,1,1)*DB$259</f>
        <v>0</v>
      </c>
      <c r="DB275" s="379">
        <f ca="1">(AE275=5)*IF('  B  '!F$110=1,IF(NOT(AY275=1),I275*'  B  '!F$113*MIN(DB$259,DB$260),I275*MAX(0,OFFSET(Vorgabewerte!D$56,AE275,0,1,1)-'  B  '!F$114)*MIN(DB$259,DB$260)),I275*OFFSET(Vorgabewerte!D$56,AE275,0,1,1)*MIN(DB$259,DB$260))</f>
        <v>0</v>
      </c>
      <c r="DC275" s="379">
        <f ca="1">(AE275=6)*IF(NOT(BE275&gt;N_Wartefrist_Unfall),I275*'  B  '!F$105*MIN(DB$259,DB$260),I275*MAX(0,OFFSET(Vorgabewerte!D$56,AE275,0,1,1)-'  B  '!F$106)*MIN(DB$259,DB$260))</f>
        <v>0</v>
      </c>
      <c r="DD275" s="255">
        <f ca="1">NOT(OR(AE275=4,AE275=5,AE275=6))*I275*OFFSET(Vorgabewerte!D$56,AE275,0,1,1)*MIN(DB$259,DB$260)</f>
        <v>0</v>
      </c>
      <c r="DE275" s="278">
        <f t="shared" ca="1" si="110"/>
        <v>0</v>
      </c>
      <c r="DF275" s="279">
        <f t="shared" ca="1" si="111"/>
        <v>0</v>
      </c>
      <c r="DG275" s="280">
        <f t="shared" ca="1" si="112"/>
        <v>0</v>
      </c>
      <c r="DI275" s="260">
        <f ca="1">(AE275=4)*I275*OFFSET(Vorgabewerte!D$56,AE275,0,1,1)*DJ$260</f>
        <v>0</v>
      </c>
      <c r="DJ275" s="379">
        <f ca="1">(AE275=5)*IF('  B  '!F$110=1,IF(NOT(AY275=1),I275*'  B  '!F$113*DJ$260,I275*MAX(0,OFFSET(Vorgabewerte!D$56,AE275,0,1,1)-'  B  '!F$114)*DJ$260),I275*OFFSET(Vorgabewerte!D$56,AE275,0,1,1)*DJ$260)</f>
        <v>0</v>
      </c>
      <c r="DK275" s="379">
        <f ca="1">(AE275=6)*IF(NOT(BE275&gt;N_Wartefrist_Unfall),I275*'  B  '!F$105*DJ$260,I275*MAX(0,OFFSET(Vorgabewerte!D$56,AE275,0,1,1)-'  B  '!F$106)*DJ$260)</f>
        <v>0</v>
      </c>
      <c r="DL275" s="255">
        <f ca="1">NOT(OR(AM275=4,AM275=5,AM275=6))*Q275*OFFSET(Vorgabewerte!L$56,AM275,0,1,1)*DJ$260</f>
        <v>0</v>
      </c>
      <c r="DM275" s="674">
        <f t="shared" ca="1" si="115"/>
        <v>0</v>
      </c>
      <c r="DN275" s="279">
        <f t="shared" ca="1" si="116"/>
        <v>0</v>
      </c>
      <c r="DO275" s="279">
        <f t="shared" ca="1" si="117"/>
        <v>0</v>
      </c>
    </row>
    <row r="276" spans="1:119" x14ac:dyDescent="0.25">
      <c r="A276" s="153">
        <f t="shared" si="113"/>
        <v>45486</v>
      </c>
      <c r="B276" s="154"/>
      <c r="C276" s="154"/>
      <c r="D276" s="154"/>
      <c r="E276" s="875" t="str">
        <f t="shared" ca="1" si="57"/>
        <v/>
      </c>
      <c r="F276" s="876"/>
      <c r="G276" s="667">
        <f t="shared" ca="1" si="114"/>
        <v>0</v>
      </c>
      <c r="H276" s="667">
        <f t="shared" ca="1" si="58"/>
        <v>0</v>
      </c>
      <c r="I276" s="667">
        <f t="shared" ca="1" si="59"/>
        <v>0</v>
      </c>
      <c r="P276" s="151">
        <f t="shared" si="60"/>
        <v>125</v>
      </c>
      <c r="R276" s="55">
        <f t="shared" si="61"/>
        <v>0</v>
      </c>
      <c r="S276" s="55">
        <f t="shared" si="62"/>
        <v>1</v>
      </c>
      <c r="U276" s="226">
        <f t="shared" si="63"/>
        <v>0</v>
      </c>
      <c r="V276" s="137">
        <f t="shared" ca="1" si="64"/>
        <v>0</v>
      </c>
      <c r="W276" s="137">
        <f t="shared" si="65"/>
        <v>0</v>
      </c>
      <c r="X276" s="137">
        <f t="shared" si="66"/>
        <v>0</v>
      </c>
      <c r="Y276" s="137">
        <f t="shared" ca="1" si="67"/>
        <v>0</v>
      </c>
      <c r="Z276" s="137">
        <f t="shared" ca="1" si="68"/>
        <v>0</v>
      </c>
      <c r="AA276" s="137">
        <f t="shared" ca="1" si="69"/>
        <v>0</v>
      </c>
      <c r="AB276" s="137">
        <f t="shared" ca="1" si="70"/>
        <v>0</v>
      </c>
      <c r="AC276" s="137">
        <f t="shared" ca="1" si="71"/>
        <v>0</v>
      </c>
      <c r="AD276" s="137">
        <f t="shared" ca="1" si="72"/>
        <v>0</v>
      </c>
      <c r="AE276" s="223">
        <f t="shared" ca="1" si="73"/>
        <v>0</v>
      </c>
      <c r="AF276" s="229" t="str">
        <f t="shared" ca="1" si="74"/>
        <v/>
      </c>
      <c r="AH276" s="235">
        <f t="shared" si="75"/>
        <v>45486</v>
      </c>
      <c r="AI276" s="137">
        <f t="shared" ca="1" si="76"/>
        <v>0</v>
      </c>
      <c r="AJ276" s="137">
        <f t="shared" si="77"/>
        <v>0</v>
      </c>
      <c r="AK276" s="137">
        <f t="shared" ca="1" si="78"/>
        <v>0</v>
      </c>
      <c r="AL276" s="137">
        <f t="shared" ca="1" si="79"/>
        <v>0</v>
      </c>
      <c r="AM276" s="137">
        <f t="shared" si="80"/>
        <v>0</v>
      </c>
      <c r="AN276" s="137">
        <f t="shared" ca="1" si="81"/>
        <v>0</v>
      </c>
      <c r="AO276" s="137">
        <f t="shared" ca="1" si="82"/>
        <v>0</v>
      </c>
      <c r="AP276" s="137">
        <f t="shared" ca="1" si="83"/>
        <v>0</v>
      </c>
      <c r="AQ276" s="137">
        <f t="shared" si="84"/>
        <v>0</v>
      </c>
      <c r="AR276" s="236">
        <f t="shared" ca="1" si="85"/>
        <v>0</v>
      </c>
      <c r="AT276" s="241">
        <f t="shared" ca="1" si="86"/>
        <v>28</v>
      </c>
      <c r="AV276" s="222">
        <f t="shared" ca="1" si="87"/>
        <v>0</v>
      </c>
      <c r="AW276" s="247">
        <f t="shared" si="88"/>
        <v>91</v>
      </c>
      <c r="AY276" s="239">
        <f ca="1">(AE276=5)*('  B  '!F$110=1)*OR(AND(AND(A276&gt;=S$220,A276&gt;=I$214),AND(A276&lt;=S$221,A276&lt;=I$215)),AND(AND(A276&gt;=S$230,A276&gt;=I$224),AND(A276&lt;=S$231,A276&lt;=I$225)),AND(AND(A276&gt;=S$240,A276&gt;=I$234),AND(A276&lt;=S$241,A276&lt;=I$235)))</f>
        <v>0</v>
      </c>
      <c r="BA276" s="222">
        <f t="shared" ca="1" si="89"/>
        <v>0</v>
      </c>
      <c r="BB276" s="55">
        <f t="shared" ca="1" si="90"/>
        <v>0</v>
      </c>
      <c r="BC276" s="247">
        <f t="shared" si="91"/>
        <v>184</v>
      </c>
      <c r="BE276" s="239">
        <f t="shared" ca="1" si="92"/>
        <v>0</v>
      </c>
      <c r="BG276" s="239">
        <f t="shared" ca="1" si="93"/>
        <v>0</v>
      </c>
      <c r="BI276" s="222"/>
      <c r="BJ276" s="137">
        <v>0</v>
      </c>
      <c r="BK276" s="137">
        <v>0</v>
      </c>
      <c r="BL276" s="137">
        <f t="shared" ca="1" si="94"/>
        <v>1</v>
      </c>
      <c r="BM276" s="137">
        <f t="shared" ca="1" si="95"/>
        <v>1</v>
      </c>
      <c r="BN276" s="137">
        <f ca="1">(A276&gt;=N_LFP_Startdatum)*IF('  B  '!F$110=1,NOT(OR(A276&gt;S$221,A276&gt;S$231,A276&gt;S$241)),IF(BB276&gt;BC276,0,1))</f>
        <v>1</v>
      </c>
      <c r="BO276" s="137">
        <f t="shared" ca="1" si="96"/>
        <v>1</v>
      </c>
      <c r="BP276" s="137">
        <v>0</v>
      </c>
      <c r="BQ276" s="137">
        <f t="shared" ca="1" si="97"/>
        <v>1</v>
      </c>
      <c r="BR276" s="653">
        <v>0</v>
      </c>
      <c r="BS276" s="224">
        <f ca="1">(A276&gt;=N_LFP_Startdatum)*IF('  B  '!F$110=1,NOT(OR(A276&gt;S$221,A276&gt;S$231,A276&gt;S$241)),IF(BB276&gt;BC276,0,1))</f>
        <v>1</v>
      </c>
      <c r="BU276" s="562">
        <f t="shared" ca="1" si="98"/>
        <v>0</v>
      </c>
      <c r="BV276" s="156">
        <f ca="1">(R276=0)*MAX(0,(B276+C276+IF(ISERROR(N_NachtStufe),0,D276*OFFSET(Vorgabewerte!E$10:E$14,N_NachtStufe,0,1,1)))-(1-BU276)*N_ArbeitsstundenSollProKT)</f>
        <v>0</v>
      </c>
      <c r="BW276" s="156"/>
      <c r="BX276" s="156">
        <f ca="1">(AE276=5)*('  B  '!F$110=1)*(1-'  B  '!F$113+(AY276*'  B  '!F$114))*(G276*IF(N_ArbeitsstundenSollProKT&gt;0,N_Monatslohn/(P$2*N_ArbeitsstundenSollProKT),0))</f>
        <v>0</v>
      </c>
      <c r="BY276" s="156">
        <f ca="1">((BE276&gt;0)*(1-'  B  '!F$105)+(BE276&gt;'  B  '!F$104)*'  B  '!F$106)*(G276*IF(N_ArbeitsstundenSollProKT&gt;0,N_Monatslohn/(P$2*N_ArbeitsstundenSollProKT),0))</f>
        <v>0</v>
      </c>
      <c r="BZ276" s="156">
        <f t="shared" ca="1" si="99"/>
        <v>0</v>
      </c>
      <c r="CA276" s="156">
        <f t="shared" ca="1" si="100"/>
        <v>0</v>
      </c>
      <c r="CB276" s="156"/>
      <c r="CC276" s="156">
        <f ca="1">(AE276=5)*('  B  '!F$113-(AY276*'  B  '!F$114))*G276*CF$260</f>
        <v>0</v>
      </c>
      <c r="CD276" s="156">
        <f ca="1">((BE276&gt;0)*'  B  '!F$105-(BE276&gt;N_Wartefrist_Unfall)*'  B  '!F$106)*(G276*CF$260)</f>
        <v>0</v>
      </c>
      <c r="CE276" s="156">
        <f ca="1">OR(AE276&lt;5,AE276&gt;6)*G276*OFFSET(Vorgabewerte!C$56,AE276,0,1,1)*CF$260</f>
        <v>0</v>
      </c>
      <c r="CF276" s="156">
        <f t="shared" ca="1" si="101"/>
        <v>0</v>
      </c>
      <c r="CH276" s="270">
        <f ca="1">(AY276=1)*'  B  '!F$114*G276*(N_BruttoStundenSatz_Monatslohn+CF$260)</f>
        <v>0</v>
      </c>
      <c r="CI276" s="270">
        <f ca="1">(BE276&gt;N_Wartefrist_Unfall)*'  B  '!F$106*G276*(N_BruttoStundenSatz_Monatslohn+CF$260)</f>
        <v>0</v>
      </c>
      <c r="CJ276" s="270">
        <f ca="1">IF(VLOOKUP('  B  '!C$65,A_JaNein_Auswahl,2,0)=1,(CH276+CI276)/12,0)</f>
        <v>0</v>
      </c>
      <c r="CK276" s="284">
        <f t="shared" ca="1" si="102"/>
        <v>0</v>
      </c>
      <c r="CL276" s="270">
        <f t="shared" ca="1" si="103"/>
        <v>0</v>
      </c>
      <c r="CM276" s="265">
        <f t="shared" ca="1" si="104"/>
        <v>0</v>
      </c>
      <c r="CO276" s="222"/>
      <c r="CP276" s="137">
        <v>0</v>
      </c>
      <c r="CQ276" s="137">
        <v>0</v>
      </c>
      <c r="CR276" s="137">
        <v>0</v>
      </c>
      <c r="CS276" s="137">
        <f t="shared" ca="1" si="105"/>
        <v>0</v>
      </c>
      <c r="CT276" s="137">
        <f t="shared" ca="1" si="106"/>
        <v>0</v>
      </c>
      <c r="CU276" s="137">
        <f t="shared" ca="1" si="107"/>
        <v>0</v>
      </c>
      <c r="CV276" s="137">
        <v>0</v>
      </c>
      <c r="CW276" s="137">
        <f t="shared" ca="1" si="108"/>
        <v>0</v>
      </c>
      <c r="CX276" s="137">
        <v>0</v>
      </c>
      <c r="CY276" s="224">
        <f t="shared" ca="1" si="109"/>
        <v>0</v>
      </c>
      <c r="DA276" s="260">
        <f ca="1">(AE276=4)*I276*OFFSET(Vorgabewerte!D$56,AE276,0,1,1)*DB$259</f>
        <v>0</v>
      </c>
      <c r="DB276" s="379">
        <f ca="1">(AE276=5)*IF('  B  '!F$110=1,IF(NOT(AY276=1),I276*'  B  '!F$113*MIN(DB$259,DB$260),I276*MAX(0,OFFSET(Vorgabewerte!D$56,AE276,0,1,1)-'  B  '!F$114)*MIN(DB$259,DB$260)),I276*OFFSET(Vorgabewerte!D$56,AE276,0,1,1)*MIN(DB$259,DB$260))</f>
        <v>0</v>
      </c>
      <c r="DC276" s="379">
        <f ca="1">(AE276=6)*IF(NOT(BE276&gt;N_Wartefrist_Unfall),I276*'  B  '!F$105*MIN(DB$259,DB$260),I276*MAX(0,OFFSET(Vorgabewerte!D$56,AE276,0,1,1)-'  B  '!F$106)*MIN(DB$259,DB$260))</f>
        <v>0</v>
      </c>
      <c r="DD276" s="255">
        <f ca="1">NOT(OR(AE276=4,AE276=5,AE276=6))*I276*OFFSET(Vorgabewerte!D$56,AE276,0,1,1)*MIN(DB$259,DB$260)</f>
        <v>0</v>
      </c>
      <c r="DE276" s="278">
        <f t="shared" ca="1" si="110"/>
        <v>0</v>
      </c>
      <c r="DF276" s="279">
        <f t="shared" ca="1" si="111"/>
        <v>0</v>
      </c>
      <c r="DG276" s="280">
        <f t="shared" ca="1" si="112"/>
        <v>0</v>
      </c>
      <c r="DI276" s="260">
        <f ca="1">(AE276=4)*I276*OFFSET(Vorgabewerte!D$56,AE276,0,1,1)*DJ$260</f>
        <v>0</v>
      </c>
      <c r="DJ276" s="379">
        <f ca="1">(AE276=5)*IF('  B  '!F$110=1,IF(NOT(AY276=1),I276*'  B  '!F$113*DJ$260,I276*MAX(0,OFFSET(Vorgabewerte!D$56,AE276,0,1,1)-'  B  '!F$114)*DJ$260),I276*OFFSET(Vorgabewerte!D$56,AE276,0,1,1)*DJ$260)</f>
        <v>0</v>
      </c>
      <c r="DK276" s="379">
        <f ca="1">(AE276=6)*IF(NOT(BE276&gt;N_Wartefrist_Unfall),I276*'  B  '!F$105*DJ$260,I276*MAX(0,OFFSET(Vorgabewerte!D$56,AE276,0,1,1)-'  B  '!F$106)*DJ$260)</f>
        <v>0</v>
      </c>
      <c r="DL276" s="255">
        <f ca="1">NOT(OR(AM276=4,AM276=5,AM276=6))*Q276*OFFSET(Vorgabewerte!L$56,AM276,0,1,1)*DJ$260</f>
        <v>0</v>
      </c>
      <c r="DM276" s="674">
        <f t="shared" ca="1" si="115"/>
        <v>0</v>
      </c>
      <c r="DN276" s="279">
        <f t="shared" ca="1" si="116"/>
        <v>0</v>
      </c>
      <c r="DO276" s="279">
        <f t="shared" ca="1" si="117"/>
        <v>0</v>
      </c>
    </row>
    <row r="277" spans="1:119" x14ac:dyDescent="0.25">
      <c r="A277" s="153">
        <f t="shared" si="113"/>
        <v>45487</v>
      </c>
      <c r="B277" s="154"/>
      <c r="C277" s="154"/>
      <c r="D277" s="154"/>
      <c r="E277" s="875" t="str">
        <f t="shared" ca="1" si="57"/>
        <v/>
      </c>
      <c r="F277" s="876"/>
      <c r="G277" s="667">
        <f t="shared" ca="1" si="114"/>
        <v>0</v>
      </c>
      <c r="H277" s="667">
        <f t="shared" ca="1" si="58"/>
        <v>0</v>
      </c>
      <c r="I277" s="667">
        <f t="shared" ca="1" si="59"/>
        <v>0</v>
      </c>
      <c r="P277" s="151">
        <f t="shared" si="60"/>
        <v>125</v>
      </c>
      <c r="R277" s="55">
        <f t="shared" si="61"/>
        <v>0</v>
      </c>
      <c r="S277" s="55">
        <f t="shared" si="62"/>
        <v>1</v>
      </c>
      <c r="U277" s="226">
        <f t="shared" si="63"/>
        <v>0</v>
      </c>
      <c r="V277" s="137">
        <f t="shared" ca="1" si="64"/>
        <v>0</v>
      </c>
      <c r="W277" s="137">
        <f t="shared" si="65"/>
        <v>0</v>
      </c>
      <c r="X277" s="137">
        <f t="shared" si="66"/>
        <v>0</v>
      </c>
      <c r="Y277" s="137">
        <f t="shared" ca="1" si="67"/>
        <v>0</v>
      </c>
      <c r="Z277" s="137">
        <f t="shared" ca="1" si="68"/>
        <v>0</v>
      </c>
      <c r="AA277" s="137">
        <f t="shared" ca="1" si="69"/>
        <v>0</v>
      </c>
      <c r="AB277" s="137">
        <f t="shared" ca="1" si="70"/>
        <v>0</v>
      </c>
      <c r="AC277" s="137">
        <f t="shared" ca="1" si="71"/>
        <v>0</v>
      </c>
      <c r="AD277" s="137">
        <f t="shared" ca="1" si="72"/>
        <v>0</v>
      </c>
      <c r="AE277" s="223">
        <f t="shared" ca="1" si="73"/>
        <v>0</v>
      </c>
      <c r="AF277" s="229" t="str">
        <f t="shared" ca="1" si="74"/>
        <v/>
      </c>
      <c r="AH277" s="235">
        <f t="shared" si="75"/>
        <v>45487</v>
      </c>
      <c r="AI277" s="137">
        <f t="shared" ca="1" si="76"/>
        <v>0</v>
      </c>
      <c r="AJ277" s="137">
        <f t="shared" si="77"/>
        <v>0</v>
      </c>
      <c r="AK277" s="137">
        <f t="shared" ca="1" si="78"/>
        <v>0</v>
      </c>
      <c r="AL277" s="137">
        <f t="shared" ca="1" si="79"/>
        <v>0</v>
      </c>
      <c r="AM277" s="137">
        <f t="shared" si="80"/>
        <v>0</v>
      </c>
      <c r="AN277" s="137">
        <f t="shared" ca="1" si="81"/>
        <v>0</v>
      </c>
      <c r="AO277" s="137">
        <f t="shared" ca="1" si="82"/>
        <v>0</v>
      </c>
      <c r="AP277" s="137">
        <f t="shared" ca="1" si="83"/>
        <v>0</v>
      </c>
      <c r="AQ277" s="137">
        <f t="shared" si="84"/>
        <v>0</v>
      </c>
      <c r="AR277" s="236">
        <f t="shared" ca="1" si="85"/>
        <v>0</v>
      </c>
      <c r="AT277" s="241">
        <f t="shared" ca="1" si="86"/>
        <v>28</v>
      </c>
      <c r="AV277" s="222">
        <f t="shared" ca="1" si="87"/>
        <v>0</v>
      </c>
      <c r="AW277" s="247">
        <f t="shared" si="88"/>
        <v>91</v>
      </c>
      <c r="AY277" s="239">
        <f ca="1">(AE277=5)*('  B  '!F$110=1)*OR(AND(AND(A277&gt;=S$220,A277&gt;=I$214),AND(A277&lt;=S$221,A277&lt;=I$215)),AND(AND(A277&gt;=S$230,A277&gt;=I$224),AND(A277&lt;=S$231,A277&lt;=I$225)),AND(AND(A277&gt;=S$240,A277&gt;=I$234),AND(A277&lt;=S$241,A277&lt;=I$235)))</f>
        <v>0</v>
      </c>
      <c r="BA277" s="222">
        <f t="shared" ca="1" si="89"/>
        <v>0</v>
      </c>
      <c r="BB277" s="55">
        <f t="shared" ca="1" si="90"/>
        <v>0</v>
      </c>
      <c r="BC277" s="247">
        <f t="shared" si="91"/>
        <v>184</v>
      </c>
      <c r="BE277" s="239">
        <f t="shared" ca="1" si="92"/>
        <v>0</v>
      </c>
      <c r="BG277" s="239">
        <f t="shared" ca="1" si="93"/>
        <v>0</v>
      </c>
      <c r="BI277" s="222"/>
      <c r="BJ277" s="137">
        <v>0</v>
      </c>
      <c r="BK277" s="137">
        <v>0</v>
      </c>
      <c r="BL277" s="137">
        <f t="shared" ca="1" si="94"/>
        <v>1</v>
      </c>
      <c r="BM277" s="137">
        <f t="shared" ca="1" si="95"/>
        <v>1</v>
      </c>
      <c r="BN277" s="137">
        <f ca="1">(A277&gt;=N_LFP_Startdatum)*IF('  B  '!F$110=1,NOT(OR(A277&gt;S$221,A277&gt;S$231,A277&gt;S$241)),IF(BB277&gt;BC277,0,1))</f>
        <v>1</v>
      </c>
      <c r="BO277" s="137">
        <f t="shared" ca="1" si="96"/>
        <v>1</v>
      </c>
      <c r="BP277" s="137">
        <v>0</v>
      </c>
      <c r="BQ277" s="137">
        <f t="shared" ca="1" si="97"/>
        <v>1</v>
      </c>
      <c r="BR277" s="653">
        <v>0</v>
      </c>
      <c r="BS277" s="224">
        <f ca="1">(A277&gt;=N_LFP_Startdatum)*IF('  B  '!F$110=1,NOT(OR(A277&gt;S$221,A277&gt;S$231,A277&gt;S$241)),IF(BB277&gt;BC277,0,1))</f>
        <v>1</v>
      </c>
      <c r="BU277" s="562">
        <f t="shared" ca="1" si="98"/>
        <v>0</v>
      </c>
      <c r="BV277" s="156">
        <f ca="1">(R277=0)*MAX(0,(B277+C277+IF(ISERROR(N_NachtStufe),0,D277*OFFSET(Vorgabewerte!E$10:E$14,N_NachtStufe,0,1,1)))-(1-BU277)*N_ArbeitsstundenSollProKT)</f>
        <v>0</v>
      </c>
      <c r="BW277" s="156"/>
      <c r="BX277" s="156">
        <f ca="1">(AE277=5)*('  B  '!F$110=1)*(1-'  B  '!F$113+(AY277*'  B  '!F$114))*(G277*IF(N_ArbeitsstundenSollProKT&gt;0,N_Monatslohn/(P$2*N_ArbeitsstundenSollProKT),0))</f>
        <v>0</v>
      </c>
      <c r="BY277" s="156">
        <f ca="1">((BE277&gt;0)*(1-'  B  '!F$105)+(BE277&gt;'  B  '!F$104)*'  B  '!F$106)*(G277*IF(N_ArbeitsstundenSollProKT&gt;0,N_Monatslohn/(P$2*N_ArbeitsstundenSollProKT),0))</f>
        <v>0</v>
      </c>
      <c r="BZ277" s="156">
        <f t="shared" ca="1" si="99"/>
        <v>0</v>
      </c>
      <c r="CA277" s="156">
        <f t="shared" ca="1" si="100"/>
        <v>0</v>
      </c>
      <c r="CB277" s="156"/>
      <c r="CC277" s="156">
        <f ca="1">(AE277=5)*('  B  '!F$113-(AY277*'  B  '!F$114))*G277*CF$260</f>
        <v>0</v>
      </c>
      <c r="CD277" s="156">
        <f ca="1">((BE277&gt;0)*'  B  '!F$105-(BE277&gt;N_Wartefrist_Unfall)*'  B  '!F$106)*(G277*CF$260)</f>
        <v>0</v>
      </c>
      <c r="CE277" s="156">
        <f ca="1">OR(AE277&lt;5,AE277&gt;6)*G277*OFFSET(Vorgabewerte!C$56,AE277,0,1,1)*CF$260</f>
        <v>0</v>
      </c>
      <c r="CF277" s="156">
        <f t="shared" ca="1" si="101"/>
        <v>0</v>
      </c>
      <c r="CH277" s="270">
        <f ca="1">(AY277=1)*'  B  '!F$114*G277*(N_BruttoStundenSatz_Monatslohn+CF$260)</f>
        <v>0</v>
      </c>
      <c r="CI277" s="270">
        <f ca="1">(BE277&gt;N_Wartefrist_Unfall)*'  B  '!F$106*G277*(N_BruttoStundenSatz_Monatslohn+CF$260)</f>
        <v>0</v>
      </c>
      <c r="CJ277" s="270">
        <f ca="1">IF(VLOOKUP('  B  '!C$65,A_JaNein_Auswahl,2,0)=1,(CH277+CI277)/12,0)</f>
        <v>0</v>
      </c>
      <c r="CK277" s="284">
        <f t="shared" ca="1" si="102"/>
        <v>0</v>
      </c>
      <c r="CL277" s="270">
        <f t="shared" ca="1" si="103"/>
        <v>0</v>
      </c>
      <c r="CM277" s="265">
        <f t="shared" ca="1" si="104"/>
        <v>0</v>
      </c>
      <c r="CO277" s="222"/>
      <c r="CP277" s="137">
        <v>0</v>
      </c>
      <c r="CQ277" s="137">
        <v>0</v>
      </c>
      <c r="CR277" s="137">
        <v>0</v>
      </c>
      <c r="CS277" s="137">
        <f t="shared" ca="1" si="105"/>
        <v>0</v>
      </c>
      <c r="CT277" s="137">
        <f t="shared" ca="1" si="106"/>
        <v>0</v>
      </c>
      <c r="CU277" s="137">
        <f t="shared" ca="1" si="107"/>
        <v>0</v>
      </c>
      <c r="CV277" s="137">
        <v>0</v>
      </c>
      <c r="CW277" s="137">
        <f t="shared" ca="1" si="108"/>
        <v>0</v>
      </c>
      <c r="CX277" s="137">
        <v>0</v>
      </c>
      <c r="CY277" s="224">
        <f t="shared" ca="1" si="109"/>
        <v>0</v>
      </c>
      <c r="DA277" s="260">
        <f ca="1">(AE277=4)*I277*OFFSET(Vorgabewerte!D$56,AE277,0,1,1)*DB$259</f>
        <v>0</v>
      </c>
      <c r="DB277" s="379">
        <f ca="1">(AE277=5)*IF('  B  '!F$110=1,IF(NOT(AY277=1),I277*'  B  '!F$113*MIN(DB$259,DB$260),I277*MAX(0,OFFSET(Vorgabewerte!D$56,AE277,0,1,1)-'  B  '!F$114)*MIN(DB$259,DB$260)),I277*OFFSET(Vorgabewerte!D$56,AE277,0,1,1)*MIN(DB$259,DB$260))</f>
        <v>0</v>
      </c>
      <c r="DC277" s="379">
        <f ca="1">(AE277=6)*IF(NOT(BE277&gt;N_Wartefrist_Unfall),I277*'  B  '!F$105*MIN(DB$259,DB$260),I277*MAX(0,OFFSET(Vorgabewerte!D$56,AE277,0,1,1)-'  B  '!F$106)*MIN(DB$259,DB$260))</f>
        <v>0</v>
      </c>
      <c r="DD277" s="255">
        <f ca="1">NOT(OR(AE277=4,AE277=5,AE277=6))*I277*OFFSET(Vorgabewerte!D$56,AE277,0,1,1)*MIN(DB$259,DB$260)</f>
        <v>0</v>
      </c>
      <c r="DE277" s="278">
        <f t="shared" ca="1" si="110"/>
        <v>0</v>
      </c>
      <c r="DF277" s="279">
        <f t="shared" ca="1" si="111"/>
        <v>0</v>
      </c>
      <c r="DG277" s="280">
        <f t="shared" ca="1" si="112"/>
        <v>0</v>
      </c>
      <c r="DI277" s="260">
        <f ca="1">(AE277=4)*I277*OFFSET(Vorgabewerte!D$56,AE277,0,1,1)*DJ$260</f>
        <v>0</v>
      </c>
      <c r="DJ277" s="379">
        <f ca="1">(AE277=5)*IF('  B  '!F$110=1,IF(NOT(AY277=1),I277*'  B  '!F$113*DJ$260,I277*MAX(0,OFFSET(Vorgabewerte!D$56,AE277,0,1,1)-'  B  '!F$114)*DJ$260),I277*OFFSET(Vorgabewerte!D$56,AE277,0,1,1)*DJ$260)</f>
        <v>0</v>
      </c>
      <c r="DK277" s="379">
        <f ca="1">(AE277=6)*IF(NOT(BE277&gt;N_Wartefrist_Unfall),I277*'  B  '!F$105*DJ$260,I277*MAX(0,OFFSET(Vorgabewerte!D$56,AE277,0,1,1)-'  B  '!F$106)*DJ$260)</f>
        <v>0</v>
      </c>
      <c r="DL277" s="255">
        <f ca="1">NOT(OR(AM277=4,AM277=5,AM277=6))*Q277*OFFSET(Vorgabewerte!L$56,AM277,0,1,1)*DJ$260</f>
        <v>0</v>
      </c>
      <c r="DM277" s="674">
        <f t="shared" ca="1" si="115"/>
        <v>0</v>
      </c>
      <c r="DN277" s="279">
        <f t="shared" ca="1" si="116"/>
        <v>0</v>
      </c>
      <c r="DO277" s="279">
        <f t="shared" ca="1" si="117"/>
        <v>0</v>
      </c>
    </row>
    <row r="278" spans="1:119" x14ac:dyDescent="0.25">
      <c r="A278" s="153">
        <f t="shared" si="113"/>
        <v>45488</v>
      </c>
      <c r="B278" s="154"/>
      <c r="C278" s="154"/>
      <c r="D278" s="154"/>
      <c r="E278" s="875" t="str">
        <f t="shared" ca="1" si="57"/>
        <v/>
      </c>
      <c r="F278" s="876"/>
      <c r="G278" s="667">
        <f t="shared" ca="1" si="114"/>
        <v>0</v>
      </c>
      <c r="H278" s="667">
        <f t="shared" ca="1" si="58"/>
        <v>0</v>
      </c>
      <c r="I278" s="667">
        <f t="shared" ca="1" si="59"/>
        <v>0</v>
      </c>
      <c r="P278" s="151">
        <f t="shared" si="60"/>
        <v>125</v>
      </c>
      <c r="R278" s="55">
        <f t="shared" si="61"/>
        <v>0</v>
      </c>
      <c r="S278" s="55">
        <f t="shared" si="62"/>
        <v>1</v>
      </c>
      <c r="U278" s="226">
        <f t="shared" si="63"/>
        <v>0</v>
      </c>
      <c r="V278" s="137">
        <f t="shared" ca="1" si="64"/>
        <v>0</v>
      </c>
      <c r="W278" s="137">
        <f t="shared" si="65"/>
        <v>0</v>
      </c>
      <c r="X278" s="137">
        <f t="shared" si="66"/>
        <v>0</v>
      </c>
      <c r="Y278" s="137">
        <f t="shared" ca="1" si="67"/>
        <v>0</v>
      </c>
      <c r="Z278" s="137">
        <f t="shared" ca="1" si="68"/>
        <v>0</v>
      </c>
      <c r="AA278" s="137">
        <f t="shared" ca="1" si="69"/>
        <v>0</v>
      </c>
      <c r="AB278" s="137">
        <f t="shared" ca="1" si="70"/>
        <v>0</v>
      </c>
      <c r="AC278" s="137">
        <f t="shared" ca="1" si="71"/>
        <v>0</v>
      </c>
      <c r="AD278" s="137">
        <f t="shared" ca="1" si="72"/>
        <v>0</v>
      </c>
      <c r="AE278" s="223">
        <f t="shared" ca="1" si="73"/>
        <v>0</v>
      </c>
      <c r="AF278" s="229" t="str">
        <f t="shared" ca="1" si="74"/>
        <v/>
      </c>
      <c r="AH278" s="235">
        <f t="shared" si="75"/>
        <v>45488</v>
      </c>
      <c r="AI278" s="137">
        <f t="shared" ca="1" si="76"/>
        <v>0</v>
      </c>
      <c r="AJ278" s="137">
        <f t="shared" si="77"/>
        <v>0</v>
      </c>
      <c r="AK278" s="137">
        <f t="shared" ca="1" si="78"/>
        <v>0</v>
      </c>
      <c r="AL278" s="137">
        <f t="shared" ca="1" si="79"/>
        <v>0</v>
      </c>
      <c r="AM278" s="137">
        <f t="shared" si="80"/>
        <v>0</v>
      </c>
      <c r="AN278" s="137">
        <f t="shared" ca="1" si="81"/>
        <v>0</v>
      </c>
      <c r="AO278" s="137">
        <f t="shared" ca="1" si="82"/>
        <v>0</v>
      </c>
      <c r="AP278" s="137">
        <f t="shared" ca="1" si="83"/>
        <v>0</v>
      </c>
      <c r="AQ278" s="137">
        <f t="shared" si="84"/>
        <v>0</v>
      </c>
      <c r="AR278" s="236">
        <f t="shared" ca="1" si="85"/>
        <v>0</v>
      </c>
      <c r="AT278" s="241">
        <f t="shared" ca="1" si="86"/>
        <v>28</v>
      </c>
      <c r="AV278" s="222">
        <f t="shared" ca="1" si="87"/>
        <v>0</v>
      </c>
      <c r="AW278" s="247">
        <f t="shared" si="88"/>
        <v>91</v>
      </c>
      <c r="AY278" s="239">
        <f ca="1">(AE278=5)*('  B  '!F$110=1)*OR(AND(AND(A278&gt;=S$220,A278&gt;=I$214),AND(A278&lt;=S$221,A278&lt;=I$215)),AND(AND(A278&gt;=S$230,A278&gt;=I$224),AND(A278&lt;=S$231,A278&lt;=I$225)),AND(AND(A278&gt;=S$240,A278&gt;=I$234),AND(A278&lt;=S$241,A278&lt;=I$235)))</f>
        <v>0</v>
      </c>
      <c r="BA278" s="222">
        <f t="shared" ca="1" si="89"/>
        <v>0</v>
      </c>
      <c r="BB278" s="55">
        <f t="shared" ca="1" si="90"/>
        <v>0</v>
      </c>
      <c r="BC278" s="247">
        <f t="shared" si="91"/>
        <v>184</v>
      </c>
      <c r="BE278" s="239">
        <f t="shared" ca="1" si="92"/>
        <v>0</v>
      </c>
      <c r="BG278" s="239">
        <f t="shared" ca="1" si="93"/>
        <v>0</v>
      </c>
      <c r="BI278" s="222"/>
      <c r="BJ278" s="137">
        <v>0</v>
      </c>
      <c r="BK278" s="137">
        <v>0</v>
      </c>
      <c r="BL278" s="137">
        <f t="shared" ca="1" si="94"/>
        <v>1</v>
      </c>
      <c r="BM278" s="137">
        <f t="shared" ca="1" si="95"/>
        <v>1</v>
      </c>
      <c r="BN278" s="137">
        <f ca="1">(A278&gt;=N_LFP_Startdatum)*IF('  B  '!F$110=1,NOT(OR(A278&gt;S$221,A278&gt;S$231,A278&gt;S$241)),IF(BB278&gt;BC278,0,1))</f>
        <v>1</v>
      </c>
      <c r="BO278" s="137">
        <f t="shared" ca="1" si="96"/>
        <v>1</v>
      </c>
      <c r="BP278" s="137">
        <v>0</v>
      </c>
      <c r="BQ278" s="137">
        <f t="shared" ca="1" si="97"/>
        <v>1</v>
      </c>
      <c r="BR278" s="653">
        <v>0</v>
      </c>
      <c r="BS278" s="224">
        <f ca="1">(A278&gt;=N_LFP_Startdatum)*IF('  B  '!F$110=1,NOT(OR(A278&gt;S$221,A278&gt;S$231,A278&gt;S$241)),IF(BB278&gt;BC278,0,1))</f>
        <v>1</v>
      </c>
      <c r="BU278" s="562">
        <f t="shared" ca="1" si="98"/>
        <v>0</v>
      </c>
      <c r="BV278" s="156">
        <f ca="1">(R278=0)*MAX(0,(B278+C278+IF(ISERROR(N_NachtStufe),0,D278*OFFSET(Vorgabewerte!E$10:E$14,N_NachtStufe,0,1,1)))-(1-BU278)*N_ArbeitsstundenSollProKT)</f>
        <v>0</v>
      </c>
      <c r="BW278" s="156"/>
      <c r="BX278" s="156">
        <f ca="1">(AE278=5)*('  B  '!F$110=1)*(1-'  B  '!F$113+(AY278*'  B  '!F$114))*(G278*IF(N_ArbeitsstundenSollProKT&gt;0,N_Monatslohn/(P$2*N_ArbeitsstundenSollProKT),0))</f>
        <v>0</v>
      </c>
      <c r="BY278" s="156">
        <f ca="1">((BE278&gt;0)*(1-'  B  '!F$105)+(BE278&gt;'  B  '!F$104)*'  B  '!F$106)*(G278*IF(N_ArbeitsstundenSollProKT&gt;0,N_Monatslohn/(P$2*N_ArbeitsstundenSollProKT),0))</f>
        <v>0</v>
      </c>
      <c r="BZ278" s="156">
        <f t="shared" ca="1" si="99"/>
        <v>0</v>
      </c>
      <c r="CA278" s="156">
        <f t="shared" ca="1" si="100"/>
        <v>0</v>
      </c>
      <c r="CB278" s="156"/>
      <c r="CC278" s="156">
        <f ca="1">(AE278=5)*('  B  '!F$113-(AY278*'  B  '!F$114))*G278*CF$260</f>
        <v>0</v>
      </c>
      <c r="CD278" s="156">
        <f ca="1">((BE278&gt;0)*'  B  '!F$105-(BE278&gt;N_Wartefrist_Unfall)*'  B  '!F$106)*(G278*CF$260)</f>
        <v>0</v>
      </c>
      <c r="CE278" s="156">
        <f ca="1">OR(AE278&lt;5,AE278&gt;6)*G278*OFFSET(Vorgabewerte!C$56,AE278,0,1,1)*CF$260</f>
        <v>0</v>
      </c>
      <c r="CF278" s="156">
        <f t="shared" ca="1" si="101"/>
        <v>0</v>
      </c>
      <c r="CH278" s="270">
        <f ca="1">(AY278=1)*'  B  '!F$114*G278*(N_BruttoStundenSatz_Monatslohn+CF$260)</f>
        <v>0</v>
      </c>
      <c r="CI278" s="270">
        <f ca="1">(BE278&gt;N_Wartefrist_Unfall)*'  B  '!F$106*G278*(N_BruttoStundenSatz_Monatslohn+CF$260)</f>
        <v>0</v>
      </c>
      <c r="CJ278" s="270">
        <f ca="1">IF(VLOOKUP('  B  '!C$65,A_JaNein_Auswahl,2,0)=1,(CH278+CI278)/12,0)</f>
        <v>0</v>
      </c>
      <c r="CK278" s="284">
        <f t="shared" ca="1" si="102"/>
        <v>0</v>
      </c>
      <c r="CL278" s="270">
        <f t="shared" ca="1" si="103"/>
        <v>0</v>
      </c>
      <c r="CM278" s="265">
        <f t="shared" ca="1" si="104"/>
        <v>0</v>
      </c>
      <c r="CO278" s="222"/>
      <c r="CP278" s="137">
        <v>0</v>
      </c>
      <c r="CQ278" s="137">
        <v>0</v>
      </c>
      <c r="CR278" s="137">
        <v>0</v>
      </c>
      <c r="CS278" s="137">
        <f t="shared" ca="1" si="105"/>
        <v>0</v>
      </c>
      <c r="CT278" s="137">
        <f t="shared" ca="1" si="106"/>
        <v>0</v>
      </c>
      <c r="CU278" s="137">
        <f t="shared" ca="1" si="107"/>
        <v>0</v>
      </c>
      <c r="CV278" s="137">
        <v>0</v>
      </c>
      <c r="CW278" s="137">
        <f t="shared" ca="1" si="108"/>
        <v>0</v>
      </c>
      <c r="CX278" s="137">
        <v>0</v>
      </c>
      <c r="CY278" s="224">
        <f t="shared" ca="1" si="109"/>
        <v>0</v>
      </c>
      <c r="DA278" s="260">
        <f ca="1">(AE278=4)*I278*OFFSET(Vorgabewerte!D$56,AE278,0,1,1)*DB$259</f>
        <v>0</v>
      </c>
      <c r="DB278" s="379">
        <f ca="1">(AE278=5)*IF('  B  '!F$110=1,IF(NOT(AY278=1),I278*'  B  '!F$113*MIN(DB$259,DB$260),I278*MAX(0,OFFSET(Vorgabewerte!D$56,AE278,0,1,1)-'  B  '!F$114)*MIN(DB$259,DB$260)),I278*OFFSET(Vorgabewerte!D$56,AE278,0,1,1)*MIN(DB$259,DB$260))</f>
        <v>0</v>
      </c>
      <c r="DC278" s="379">
        <f ca="1">(AE278=6)*IF(NOT(BE278&gt;N_Wartefrist_Unfall),I278*'  B  '!F$105*MIN(DB$259,DB$260),I278*MAX(0,OFFSET(Vorgabewerte!D$56,AE278,0,1,1)-'  B  '!F$106)*MIN(DB$259,DB$260))</f>
        <v>0</v>
      </c>
      <c r="DD278" s="255">
        <f ca="1">NOT(OR(AE278=4,AE278=5,AE278=6))*I278*OFFSET(Vorgabewerte!D$56,AE278,0,1,1)*MIN(DB$259,DB$260)</f>
        <v>0</v>
      </c>
      <c r="DE278" s="278">
        <f t="shared" ca="1" si="110"/>
        <v>0</v>
      </c>
      <c r="DF278" s="279">
        <f t="shared" ca="1" si="111"/>
        <v>0</v>
      </c>
      <c r="DG278" s="280">
        <f t="shared" ca="1" si="112"/>
        <v>0</v>
      </c>
      <c r="DI278" s="260">
        <f ca="1">(AE278=4)*I278*OFFSET(Vorgabewerte!D$56,AE278,0,1,1)*DJ$260</f>
        <v>0</v>
      </c>
      <c r="DJ278" s="379">
        <f ca="1">(AE278=5)*IF('  B  '!F$110=1,IF(NOT(AY278=1),I278*'  B  '!F$113*DJ$260,I278*MAX(0,OFFSET(Vorgabewerte!D$56,AE278,0,1,1)-'  B  '!F$114)*DJ$260),I278*OFFSET(Vorgabewerte!D$56,AE278,0,1,1)*DJ$260)</f>
        <v>0</v>
      </c>
      <c r="DK278" s="379">
        <f ca="1">(AE278=6)*IF(NOT(BE278&gt;N_Wartefrist_Unfall),I278*'  B  '!F$105*DJ$260,I278*MAX(0,OFFSET(Vorgabewerte!D$56,AE278,0,1,1)-'  B  '!F$106)*DJ$260)</f>
        <v>0</v>
      </c>
      <c r="DL278" s="255">
        <f ca="1">NOT(OR(AM278=4,AM278=5,AM278=6))*Q278*OFFSET(Vorgabewerte!L$56,AM278,0,1,1)*DJ$260</f>
        <v>0</v>
      </c>
      <c r="DM278" s="674">
        <f t="shared" ca="1" si="115"/>
        <v>0</v>
      </c>
      <c r="DN278" s="279">
        <f t="shared" ca="1" si="116"/>
        <v>0</v>
      </c>
      <c r="DO278" s="279">
        <f t="shared" ca="1" si="117"/>
        <v>0</v>
      </c>
    </row>
    <row r="279" spans="1:119" x14ac:dyDescent="0.25">
      <c r="A279" s="153">
        <f t="shared" si="113"/>
        <v>45489</v>
      </c>
      <c r="B279" s="154"/>
      <c r="C279" s="154"/>
      <c r="D279" s="154"/>
      <c r="E279" s="875" t="str">
        <f t="shared" ca="1" si="57"/>
        <v/>
      </c>
      <c r="F279" s="876"/>
      <c r="G279" s="667">
        <f t="shared" ca="1" si="114"/>
        <v>0</v>
      </c>
      <c r="H279" s="667">
        <f t="shared" ca="1" si="58"/>
        <v>0</v>
      </c>
      <c r="I279" s="667">
        <f t="shared" ca="1" si="59"/>
        <v>0</v>
      </c>
      <c r="P279" s="151">
        <f t="shared" si="60"/>
        <v>125</v>
      </c>
      <c r="R279" s="55">
        <f t="shared" si="61"/>
        <v>0</v>
      </c>
      <c r="S279" s="55">
        <f t="shared" si="62"/>
        <v>1</v>
      </c>
      <c r="U279" s="226">
        <f t="shared" si="63"/>
        <v>0</v>
      </c>
      <c r="V279" s="137">
        <f t="shared" ca="1" si="64"/>
        <v>0</v>
      </c>
      <c r="W279" s="137">
        <f t="shared" si="65"/>
        <v>0</v>
      </c>
      <c r="X279" s="137">
        <f t="shared" si="66"/>
        <v>0</v>
      </c>
      <c r="Y279" s="137">
        <f t="shared" ca="1" si="67"/>
        <v>0</v>
      </c>
      <c r="Z279" s="137">
        <f t="shared" ca="1" si="68"/>
        <v>0</v>
      </c>
      <c r="AA279" s="137">
        <f t="shared" ca="1" si="69"/>
        <v>0</v>
      </c>
      <c r="AB279" s="137">
        <f t="shared" ca="1" si="70"/>
        <v>0</v>
      </c>
      <c r="AC279" s="137">
        <f t="shared" ca="1" si="71"/>
        <v>0</v>
      </c>
      <c r="AD279" s="137">
        <f t="shared" ca="1" si="72"/>
        <v>0</v>
      </c>
      <c r="AE279" s="223">
        <f t="shared" ca="1" si="73"/>
        <v>0</v>
      </c>
      <c r="AF279" s="229" t="str">
        <f t="shared" ca="1" si="74"/>
        <v/>
      </c>
      <c r="AH279" s="235">
        <f t="shared" si="75"/>
        <v>45489</v>
      </c>
      <c r="AI279" s="137">
        <f t="shared" ca="1" si="76"/>
        <v>0</v>
      </c>
      <c r="AJ279" s="137">
        <f t="shared" si="77"/>
        <v>0</v>
      </c>
      <c r="AK279" s="137">
        <f t="shared" ca="1" si="78"/>
        <v>0</v>
      </c>
      <c r="AL279" s="137">
        <f t="shared" ca="1" si="79"/>
        <v>0</v>
      </c>
      <c r="AM279" s="137">
        <f t="shared" si="80"/>
        <v>0</v>
      </c>
      <c r="AN279" s="137">
        <f t="shared" ca="1" si="81"/>
        <v>0</v>
      </c>
      <c r="AO279" s="137">
        <f t="shared" ca="1" si="82"/>
        <v>0</v>
      </c>
      <c r="AP279" s="137">
        <f t="shared" ca="1" si="83"/>
        <v>0</v>
      </c>
      <c r="AQ279" s="137">
        <f t="shared" si="84"/>
        <v>0</v>
      </c>
      <c r="AR279" s="236">
        <f t="shared" ca="1" si="85"/>
        <v>0</v>
      </c>
      <c r="AT279" s="241">
        <f t="shared" ca="1" si="86"/>
        <v>28</v>
      </c>
      <c r="AV279" s="222">
        <f t="shared" ca="1" si="87"/>
        <v>0</v>
      </c>
      <c r="AW279" s="247">
        <f t="shared" si="88"/>
        <v>91</v>
      </c>
      <c r="AY279" s="239">
        <f ca="1">(AE279=5)*('  B  '!F$110=1)*OR(AND(AND(A279&gt;=S$220,A279&gt;=I$214),AND(A279&lt;=S$221,A279&lt;=I$215)),AND(AND(A279&gt;=S$230,A279&gt;=I$224),AND(A279&lt;=S$231,A279&lt;=I$225)),AND(AND(A279&gt;=S$240,A279&gt;=I$234),AND(A279&lt;=S$241,A279&lt;=I$235)))</f>
        <v>0</v>
      </c>
      <c r="BA279" s="222">
        <f t="shared" ca="1" si="89"/>
        <v>0</v>
      </c>
      <c r="BB279" s="55">
        <f t="shared" ca="1" si="90"/>
        <v>0</v>
      </c>
      <c r="BC279" s="247">
        <f t="shared" si="91"/>
        <v>184</v>
      </c>
      <c r="BE279" s="239">
        <f t="shared" ca="1" si="92"/>
        <v>0</v>
      </c>
      <c r="BG279" s="239">
        <f t="shared" ca="1" si="93"/>
        <v>0</v>
      </c>
      <c r="BI279" s="222"/>
      <c r="BJ279" s="137">
        <v>0</v>
      </c>
      <c r="BK279" s="137">
        <v>0</v>
      </c>
      <c r="BL279" s="137">
        <f t="shared" ca="1" si="94"/>
        <v>1</v>
      </c>
      <c r="BM279" s="137">
        <f t="shared" ca="1" si="95"/>
        <v>1</v>
      </c>
      <c r="BN279" s="137">
        <f ca="1">(A279&gt;=N_LFP_Startdatum)*IF('  B  '!F$110=1,NOT(OR(A279&gt;S$221,A279&gt;S$231,A279&gt;S$241)),IF(BB279&gt;BC279,0,1))</f>
        <v>1</v>
      </c>
      <c r="BO279" s="137">
        <f t="shared" ca="1" si="96"/>
        <v>1</v>
      </c>
      <c r="BP279" s="137">
        <v>0</v>
      </c>
      <c r="BQ279" s="137">
        <f t="shared" ca="1" si="97"/>
        <v>1</v>
      </c>
      <c r="BR279" s="653">
        <v>0</v>
      </c>
      <c r="BS279" s="224">
        <f ca="1">(A279&gt;=N_LFP_Startdatum)*IF('  B  '!F$110=1,NOT(OR(A279&gt;S$221,A279&gt;S$231,A279&gt;S$241)),IF(BB279&gt;BC279,0,1))</f>
        <v>1</v>
      </c>
      <c r="BU279" s="562">
        <f t="shared" ca="1" si="98"/>
        <v>0</v>
      </c>
      <c r="BV279" s="156">
        <f ca="1">(R279=0)*MAX(0,(B279+C279+IF(ISERROR(N_NachtStufe),0,D279*OFFSET(Vorgabewerte!E$10:E$14,N_NachtStufe,0,1,1)))-(1-BU279)*N_ArbeitsstundenSollProKT)</f>
        <v>0</v>
      </c>
      <c r="BW279" s="156"/>
      <c r="BX279" s="156">
        <f ca="1">(AE279=5)*('  B  '!F$110=1)*(1-'  B  '!F$113+(AY279*'  B  '!F$114))*(G279*IF(N_ArbeitsstundenSollProKT&gt;0,N_Monatslohn/(P$2*N_ArbeitsstundenSollProKT),0))</f>
        <v>0</v>
      </c>
      <c r="BY279" s="156">
        <f ca="1">((BE279&gt;0)*(1-'  B  '!F$105)+(BE279&gt;'  B  '!F$104)*'  B  '!F$106)*(G279*IF(N_ArbeitsstundenSollProKT&gt;0,N_Monatslohn/(P$2*N_ArbeitsstundenSollProKT),0))</f>
        <v>0</v>
      </c>
      <c r="BZ279" s="156">
        <f t="shared" ca="1" si="99"/>
        <v>0</v>
      </c>
      <c r="CA279" s="156">
        <f t="shared" ca="1" si="100"/>
        <v>0</v>
      </c>
      <c r="CB279" s="156"/>
      <c r="CC279" s="156">
        <f ca="1">(AE279=5)*('  B  '!F$113-(AY279*'  B  '!F$114))*G279*CF$260</f>
        <v>0</v>
      </c>
      <c r="CD279" s="156">
        <f ca="1">((BE279&gt;0)*'  B  '!F$105-(BE279&gt;N_Wartefrist_Unfall)*'  B  '!F$106)*(G279*CF$260)</f>
        <v>0</v>
      </c>
      <c r="CE279" s="156">
        <f ca="1">OR(AE279&lt;5,AE279&gt;6)*G279*OFFSET(Vorgabewerte!C$56,AE279,0,1,1)*CF$260</f>
        <v>0</v>
      </c>
      <c r="CF279" s="156">
        <f t="shared" ca="1" si="101"/>
        <v>0</v>
      </c>
      <c r="CH279" s="270">
        <f ca="1">(AY279=1)*'  B  '!F$114*G279*(N_BruttoStundenSatz_Monatslohn+CF$260)</f>
        <v>0</v>
      </c>
      <c r="CI279" s="270">
        <f ca="1">(BE279&gt;N_Wartefrist_Unfall)*'  B  '!F$106*G279*(N_BruttoStundenSatz_Monatslohn+CF$260)</f>
        <v>0</v>
      </c>
      <c r="CJ279" s="270">
        <f ca="1">IF(VLOOKUP('  B  '!C$65,A_JaNein_Auswahl,2,0)=1,(CH279+CI279)/12,0)</f>
        <v>0</v>
      </c>
      <c r="CK279" s="284">
        <f t="shared" ca="1" si="102"/>
        <v>0</v>
      </c>
      <c r="CL279" s="270">
        <f t="shared" ca="1" si="103"/>
        <v>0</v>
      </c>
      <c r="CM279" s="265">
        <f t="shared" ca="1" si="104"/>
        <v>0</v>
      </c>
      <c r="CO279" s="222"/>
      <c r="CP279" s="137">
        <v>0</v>
      </c>
      <c r="CQ279" s="137">
        <v>0</v>
      </c>
      <c r="CR279" s="137">
        <v>0</v>
      </c>
      <c r="CS279" s="137">
        <f t="shared" ca="1" si="105"/>
        <v>0</v>
      </c>
      <c r="CT279" s="137">
        <f t="shared" ca="1" si="106"/>
        <v>0</v>
      </c>
      <c r="CU279" s="137">
        <f t="shared" ca="1" si="107"/>
        <v>0</v>
      </c>
      <c r="CV279" s="137">
        <v>0</v>
      </c>
      <c r="CW279" s="137">
        <f t="shared" ca="1" si="108"/>
        <v>0</v>
      </c>
      <c r="CX279" s="137">
        <v>0</v>
      </c>
      <c r="CY279" s="224">
        <f t="shared" ca="1" si="109"/>
        <v>0</v>
      </c>
      <c r="DA279" s="260">
        <f ca="1">(AE279=4)*I279*OFFSET(Vorgabewerte!D$56,AE279,0,1,1)*DB$259</f>
        <v>0</v>
      </c>
      <c r="DB279" s="379">
        <f ca="1">(AE279=5)*IF('  B  '!F$110=1,IF(NOT(AY279=1),I279*'  B  '!F$113*MIN(DB$259,DB$260),I279*MAX(0,OFFSET(Vorgabewerte!D$56,AE279,0,1,1)-'  B  '!F$114)*MIN(DB$259,DB$260)),I279*OFFSET(Vorgabewerte!D$56,AE279,0,1,1)*MIN(DB$259,DB$260))</f>
        <v>0</v>
      </c>
      <c r="DC279" s="379">
        <f ca="1">(AE279=6)*IF(NOT(BE279&gt;N_Wartefrist_Unfall),I279*'  B  '!F$105*MIN(DB$259,DB$260),I279*MAX(0,OFFSET(Vorgabewerte!D$56,AE279,0,1,1)-'  B  '!F$106)*MIN(DB$259,DB$260))</f>
        <v>0</v>
      </c>
      <c r="DD279" s="255">
        <f ca="1">NOT(OR(AE279=4,AE279=5,AE279=6))*I279*OFFSET(Vorgabewerte!D$56,AE279,0,1,1)*MIN(DB$259,DB$260)</f>
        <v>0</v>
      </c>
      <c r="DE279" s="278">
        <f t="shared" ca="1" si="110"/>
        <v>0</v>
      </c>
      <c r="DF279" s="279">
        <f t="shared" ca="1" si="111"/>
        <v>0</v>
      </c>
      <c r="DG279" s="280">
        <f t="shared" ca="1" si="112"/>
        <v>0</v>
      </c>
      <c r="DI279" s="260">
        <f ca="1">(AE279=4)*I279*OFFSET(Vorgabewerte!D$56,AE279,0,1,1)*DJ$260</f>
        <v>0</v>
      </c>
      <c r="DJ279" s="379">
        <f ca="1">(AE279=5)*IF('  B  '!F$110=1,IF(NOT(AY279=1),I279*'  B  '!F$113*DJ$260,I279*MAX(0,OFFSET(Vorgabewerte!D$56,AE279,0,1,1)-'  B  '!F$114)*DJ$260),I279*OFFSET(Vorgabewerte!D$56,AE279,0,1,1)*DJ$260)</f>
        <v>0</v>
      </c>
      <c r="DK279" s="379">
        <f ca="1">(AE279=6)*IF(NOT(BE279&gt;N_Wartefrist_Unfall),I279*'  B  '!F$105*DJ$260,I279*MAX(0,OFFSET(Vorgabewerte!D$56,AE279,0,1,1)-'  B  '!F$106)*DJ$260)</f>
        <v>0</v>
      </c>
      <c r="DL279" s="255">
        <f ca="1">NOT(OR(AM279=4,AM279=5,AM279=6))*Q279*OFFSET(Vorgabewerte!L$56,AM279,0,1,1)*DJ$260</f>
        <v>0</v>
      </c>
      <c r="DM279" s="674">
        <f t="shared" ca="1" si="115"/>
        <v>0</v>
      </c>
      <c r="DN279" s="279">
        <f t="shared" ca="1" si="116"/>
        <v>0</v>
      </c>
      <c r="DO279" s="279">
        <f t="shared" ca="1" si="117"/>
        <v>0</v>
      </c>
    </row>
    <row r="280" spans="1:119" x14ac:dyDescent="0.25">
      <c r="A280" s="153">
        <f t="shared" si="113"/>
        <v>45490</v>
      </c>
      <c r="B280" s="154"/>
      <c r="C280" s="154"/>
      <c r="D280" s="154"/>
      <c r="E280" s="875" t="str">
        <f t="shared" ca="1" si="57"/>
        <v/>
      </c>
      <c r="F280" s="876"/>
      <c r="G280" s="667">
        <f t="shared" ca="1" si="114"/>
        <v>0</v>
      </c>
      <c r="H280" s="667">
        <f t="shared" ca="1" si="58"/>
        <v>0</v>
      </c>
      <c r="I280" s="667">
        <f t="shared" ca="1" si="59"/>
        <v>0</v>
      </c>
      <c r="P280" s="151">
        <f t="shared" si="60"/>
        <v>125</v>
      </c>
      <c r="R280" s="55">
        <f t="shared" si="61"/>
        <v>0</v>
      </c>
      <c r="S280" s="55">
        <f t="shared" si="62"/>
        <v>1</v>
      </c>
      <c r="U280" s="226">
        <f t="shared" si="63"/>
        <v>0</v>
      </c>
      <c r="V280" s="137">
        <f t="shared" ca="1" si="64"/>
        <v>0</v>
      </c>
      <c r="W280" s="137">
        <f t="shared" si="65"/>
        <v>0</v>
      </c>
      <c r="X280" s="137">
        <f t="shared" si="66"/>
        <v>0</v>
      </c>
      <c r="Y280" s="137">
        <f t="shared" ca="1" si="67"/>
        <v>0</v>
      </c>
      <c r="Z280" s="137">
        <f t="shared" ca="1" si="68"/>
        <v>0</v>
      </c>
      <c r="AA280" s="137">
        <f t="shared" ca="1" si="69"/>
        <v>0</v>
      </c>
      <c r="AB280" s="137">
        <f t="shared" ca="1" si="70"/>
        <v>0</v>
      </c>
      <c r="AC280" s="137">
        <f t="shared" ca="1" si="71"/>
        <v>0</v>
      </c>
      <c r="AD280" s="137">
        <f t="shared" ca="1" si="72"/>
        <v>0</v>
      </c>
      <c r="AE280" s="223">
        <f t="shared" ca="1" si="73"/>
        <v>0</v>
      </c>
      <c r="AF280" s="229" t="str">
        <f t="shared" ca="1" si="74"/>
        <v/>
      </c>
      <c r="AH280" s="235">
        <f t="shared" si="75"/>
        <v>45490</v>
      </c>
      <c r="AI280" s="137">
        <f t="shared" ca="1" si="76"/>
        <v>0</v>
      </c>
      <c r="AJ280" s="137">
        <f t="shared" si="77"/>
        <v>0</v>
      </c>
      <c r="AK280" s="137">
        <f t="shared" ca="1" si="78"/>
        <v>0</v>
      </c>
      <c r="AL280" s="137">
        <f t="shared" ca="1" si="79"/>
        <v>0</v>
      </c>
      <c r="AM280" s="137">
        <f t="shared" si="80"/>
        <v>0</v>
      </c>
      <c r="AN280" s="137">
        <f t="shared" ca="1" si="81"/>
        <v>0</v>
      </c>
      <c r="AO280" s="137">
        <f t="shared" ca="1" si="82"/>
        <v>0</v>
      </c>
      <c r="AP280" s="137">
        <f t="shared" ca="1" si="83"/>
        <v>0</v>
      </c>
      <c r="AQ280" s="137">
        <f t="shared" si="84"/>
        <v>0</v>
      </c>
      <c r="AR280" s="236">
        <f t="shared" ca="1" si="85"/>
        <v>0</v>
      </c>
      <c r="AT280" s="241">
        <f t="shared" ca="1" si="86"/>
        <v>28</v>
      </c>
      <c r="AV280" s="222">
        <f t="shared" ca="1" si="87"/>
        <v>0</v>
      </c>
      <c r="AW280" s="247">
        <f t="shared" si="88"/>
        <v>91</v>
      </c>
      <c r="AY280" s="239">
        <f ca="1">(AE280=5)*('  B  '!F$110=1)*OR(AND(AND(A280&gt;=S$220,A280&gt;=I$214),AND(A280&lt;=S$221,A280&lt;=I$215)),AND(AND(A280&gt;=S$230,A280&gt;=I$224),AND(A280&lt;=S$231,A280&lt;=I$225)),AND(AND(A280&gt;=S$240,A280&gt;=I$234),AND(A280&lt;=S$241,A280&lt;=I$235)))</f>
        <v>0</v>
      </c>
      <c r="BA280" s="222">
        <f t="shared" ca="1" si="89"/>
        <v>0</v>
      </c>
      <c r="BB280" s="55">
        <f t="shared" ca="1" si="90"/>
        <v>0</v>
      </c>
      <c r="BC280" s="247">
        <f t="shared" si="91"/>
        <v>184</v>
      </c>
      <c r="BE280" s="239">
        <f t="shared" ca="1" si="92"/>
        <v>0</v>
      </c>
      <c r="BG280" s="239">
        <f t="shared" ca="1" si="93"/>
        <v>0</v>
      </c>
      <c r="BI280" s="222"/>
      <c r="BJ280" s="137">
        <v>0</v>
      </c>
      <c r="BK280" s="137">
        <v>0</v>
      </c>
      <c r="BL280" s="137">
        <f t="shared" ca="1" si="94"/>
        <v>1</v>
      </c>
      <c r="BM280" s="137">
        <f t="shared" ca="1" si="95"/>
        <v>1</v>
      </c>
      <c r="BN280" s="137">
        <f ca="1">(A280&gt;=N_LFP_Startdatum)*IF('  B  '!F$110=1,NOT(OR(A280&gt;S$221,A280&gt;S$231,A280&gt;S$241)),IF(BB280&gt;BC280,0,1))</f>
        <v>1</v>
      </c>
      <c r="BO280" s="137">
        <f t="shared" ca="1" si="96"/>
        <v>1</v>
      </c>
      <c r="BP280" s="137">
        <v>0</v>
      </c>
      <c r="BQ280" s="137">
        <f t="shared" ca="1" si="97"/>
        <v>1</v>
      </c>
      <c r="BR280" s="653">
        <v>0</v>
      </c>
      <c r="BS280" s="224">
        <f ca="1">(A280&gt;=N_LFP_Startdatum)*IF('  B  '!F$110=1,NOT(OR(A280&gt;S$221,A280&gt;S$231,A280&gt;S$241)),IF(BB280&gt;BC280,0,1))</f>
        <v>1</v>
      </c>
      <c r="BU280" s="562">
        <f t="shared" ca="1" si="98"/>
        <v>0</v>
      </c>
      <c r="BV280" s="156">
        <f ca="1">(R280=0)*MAX(0,(B280+C280+IF(ISERROR(N_NachtStufe),0,D280*OFFSET(Vorgabewerte!E$10:E$14,N_NachtStufe,0,1,1)))-(1-BU280)*N_ArbeitsstundenSollProKT)</f>
        <v>0</v>
      </c>
      <c r="BW280" s="156"/>
      <c r="BX280" s="156">
        <f ca="1">(AE280=5)*('  B  '!F$110=1)*(1-'  B  '!F$113+(AY280*'  B  '!F$114))*(G280*IF(N_ArbeitsstundenSollProKT&gt;0,N_Monatslohn/(P$2*N_ArbeitsstundenSollProKT),0))</f>
        <v>0</v>
      </c>
      <c r="BY280" s="156">
        <f ca="1">((BE280&gt;0)*(1-'  B  '!F$105)+(BE280&gt;'  B  '!F$104)*'  B  '!F$106)*(G280*IF(N_ArbeitsstundenSollProKT&gt;0,N_Monatslohn/(P$2*N_ArbeitsstundenSollProKT),0))</f>
        <v>0</v>
      </c>
      <c r="BZ280" s="156">
        <f t="shared" ca="1" si="99"/>
        <v>0</v>
      </c>
      <c r="CA280" s="156">
        <f t="shared" ca="1" si="100"/>
        <v>0</v>
      </c>
      <c r="CB280" s="156"/>
      <c r="CC280" s="156">
        <f ca="1">(AE280=5)*('  B  '!F$113-(AY280*'  B  '!F$114))*G280*CF$260</f>
        <v>0</v>
      </c>
      <c r="CD280" s="156">
        <f ca="1">((BE280&gt;0)*'  B  '!F$105-(BE280&gt;N_Wartefrist_Unfall)*'  B  '!F$106)*(G280*CF$260)</f>
        <v>0</v>
      </c>
      <c r="CE280" s="156">
        <f ca="1">OR(AE280&lt;5,AE280&gt;6)*G280*OFFSET(Vorgabewerte!C$56,AE280,0,1,1)*CF$260</f>
        <v>0</v>
      </c>
      <c r="CF280" s="156">
        <f t="shared" ca="1" si="101"/>
        <v>0</v>
      </c>
      <c r="CH280" s="270">
        <f ca="1">(AY280=1)*'  B  '!F$114*G280*(N_BruttoStundenSatz_Monatslohn+CF$260)</f>
        <v>0</v>
      </c>
      <c r="CI280" s="270">
        <f ca="1">(BE280&gt;N_Wartefrist_Unfall)*'  B  '!F$106*G280*(N_BruttoStundenSatz_Monatslohn+CF$260)</f>
        <v>0</v>
      </c>
      <c r="CJ280" s="270">
        <f ca="1">IF(VLOOKUP('  B  '!C$65,A_JaNein_Auswahl,2,0)=1,(CH280+CI280)/12,0)</f>
        <v>0</v>
      </c>
      <c r="CK280" s="284">
        <f t="shared" ca="1" si="102"/>
        <v>0</v>
      </c>
      <c r="CL280" s="270">
        <f t="shared" ca="1" si="103"/>
        <v>0</v>
      </c>
      <c r="CM280" s="265">
        <f t="shared" ca="1" si="104"/>
        <v>0</v>
      </c>
      <c r="CO280" s="222"/>
      <c r="CP280" s="137">
        <v>0</v>
      </c>
      <c r="CQ280" s="137">
        <v>0</v>
      </c>
      <c r="CR280" s="137">
        <v>0</v>
      </c>
      <c r="CS280" s="137">
        <f t="shared" ca="1" si="105"/>
        <v>0</v>
      </c>
      <c r="CT280" s="137">
        <f t="shared" ca="1" si="106"/>
        <v>0</v>
      </c>
      <c r="CU280" s="137">
        <f t="shared" ca="1" si="107"/>
        <v>0</v>
      </c>
      <c r="CV280" s="137">
        <v>0</v>
      </c>
      <c r="CW280" s="137">
        <f t="shared" ca="1" si="108"/>
        <v>0</v>
      </c>
      <c r="CX280" s="137">
        <v>0</v>
      </c>
      <c r="CY280" s="224">
        <f t="shared" ca="1" si="109"/>
        <v>0</v>
      </c>
      <c r="DA280" s="260">
        <f ca="1">(AE280=4)*I280*OFFSET(Vorgabewerte!D$56,AE280,0,1,1)*DB$259</f>
        <v>0</v>
      </c>
      <c r="DB280" s="379">
        <f ca="1">(AE280=5)*IF('  B  '!F$110=1,IF(NOT(AY280=1),I280*'  B  '!F$113*MIN(DB$259,DB$260),I280*MAX(0,OFFSET(Vorgabewerte!D$56,AE280,0,1,1)-'  B  '!F$114)*MIN(DB$259,DB$260)),I280*OFFSET(Vorgabewerte!D$56,AE280,0,1,1)*MIN(DB$259,DB$260))</f>
        <v>0</v>
      </c>
      <c r="DC280" s="379">
        <f ca="1">(AE280=6)*IF(NOT(BE280&gt;N_Wartefrist_Unfall),I280*'  B  '!F$105*MIN(DB$259,DB$260),I280*MAX(0,OFFSET(Vorgabewerte!D$56,AE280,0,1,1)-'  B  '!F$106)*MIN(DB$259,DB$260))</f>
        <v>0</v>
      </c>
      <c r="DD280" s="255">
        <f ca="1">NOT(OR(AE280=4,AE280=5,AE280=6))*I280*OFFSET(Vorgabewerte!D$56,AE280,0,1,1)*MIN(DB$259,DB$260)</f>
        <v>0</v>
      </c>
      <c r="DE280" s="278">
        <f t="shared" ca="1" si="110"/>
        <v>0</v>
      </c>
      <c r="DF280" s="279">
        <f t="shared" ca="1" si="111"/>
        <v>0</v>
      </c>
      <c r="DG280" s="280">
        <f t="shared" ca="1" si="112"/>
        <v>0</v>
      </c>
      <c r="DI280" s="260">
        <f ca="1">(AE280=4)*I280*OFFSET(Vorgabewerte!D$56,AE280,0,1,1)*DJ$260</f>
        <v>0</v>
      </c>
      <c r="DJ280" s="379">
        <f ca="1">(AE280=5)*IF('  B  '!F$110=1,IF(NOT(AY280=1),I280*'  B  '!F$113*DJ$260,I280*MAX(0,OFFSET(Vorgabewerte!D$56,AE280,0,1,1)-'  B  '!F$114)*DJ$260),I280*OFFSET(Vorgabewerte!D$56,AE280,0,1,1)*DJ$260)</f>
        <v>0</v>
      </c>
      <c r="DK280" s="379">
        <f ca="1">(AE280=6)*IF(NOT(BE280&gt;N_Wartefrist_Unfall),I280*'  B  '!F$105*DJ$260,I280*MAX(0,OFFSET(Vorgabewerte!D$56,AE280,0,1,1)-'  B  '!F$106)*DJ$260)</f>
        <v>0</v>
      </c>
      <c r="DL280" s="255">
        <f ca="1">NOT(OR(AM280=4,AM280=5,AM280=6))*Q280*OFFSET(Vorgabewerte!L$56,AM280,0,1,1)*DJ$260</f>
        <v>0</v>
      </c>
      <c r="DM280" s="674">
        <f t="shared" ca="1" si="115"/>
        <v>0</v>
      </c>
      <c r="DN280" s="279">
        <f t="shared" ca="1" si="116"/>
        <v>0</v>
      </c>
      <c r="DO280" s="279">
        <f t="shared" ca="1" si="117"/>
        <v>0</v>
      </c>
    </row>
    <row r="281" spans="1:119" x14ac:dyDescent="0.25">
      <c r="A281" s="153">
        <f t="shared" si="113"/>
        <v>45491</v>
      </c>
      <c r="B281" s="154"/>
      <c r="C281" s="154"/>
      <c r="D281" s="154"/>
      <c r="E281" s="875" t="str">
        <f t="shared" ca="1" si="57"/>
        <v/>
      </c>
      <c r="F281" s="876"/>
      <c r="G281" s="667">
        <f t="shared" ca="1" si="114"/>
        <v>0</v>
      </c>
      <c r="H281" s="667">
        <f t="shared" ca="1" si="58"/>
        <v>0</v>
      </c>
      <c r="I281" s="667">
        <f t="shared" ca="1" si="59"/>
        <v>0</v>
      </c>
      <c r="P281" s="151">
        <f t="shared" si="60"/>
        <v>125</v>
      </c>
      <c r="R281" s="55">
        <f t="shared" si="61"/>
        <v>0</v>
      </c>
      <c r="S281" s="55">
        <f t="shared" si="62"/>
        <v>1</v>
      </c>
      <c r="U281" s="226">
        <f t="shared" si="63"/>
        <v>0</v>
      </c>
      <c r="V281" s="137">
        <f t="shared" ca="1" si="64"/>
        <v>0</v>
      </c>
      <c r="W281" s="137">
        <f t="shared" si="65"/>
        <v>0</v>
      </c>
      <c r="X281" s="137">
        <f t="shared" si="66"/>
        <v>0</v>
      </c>
      <c r="Y281" s="137">
        <f t="shared" ca="1" si="67"/>
        <v>0</v>
      </c>
      <c r="Z281" s="137">
        <f t="shared" ca="1" si="68"/>
        <v>0</v>
      </c>
      <c r="AA281" s="137">
        <f t="shared" ca="1" si="69"/>
        <v>0</v>
      </c>
      <c r="AB281" s="137">
        <f t="shared" ca="1" si="70"/>
        <v>0</v>
      </c>
      <c r="AC281" s="137">
        <f t="shared" ca="1" si="71"/>
        <v>0</v>
      </c>
      <c r="AD281" s="137">
        <f t="shared" ca="1" si="72"/>
        <v>0</v>
      </c>
      <c r="AE281" s="223">
        <f t="shared" ca="1" si="73"/>
        <v>0</v>
      </c>
      <c r="AF281" s="229" t="str">
        <f t="shared" ca="1" si="74"/>
        <v/>
      </c>
      <c r="AH281" s="235">
        <f t="shared" si="75"/>
        <v>45491</v>
      </c>
      <c r="AI281" s="137">
        <f t="shared" ca="1" si="76"/>
        <v>0</v>
      </c>
      <c r="AJ281" s="137">
        <f t="shared" si="77"/>
        <v>0</v>
      </c>
      <c r="AK281" s="137">
        <f t="shared" ca="1" si="78"/>
        <v>0</v>
      </c>
      <c r="AL281" s="137">
        <f t="shared" ca="1" si="79"/>
        <v>0</v>
      </c>
      <c r="AM281" s="137">
        <f t="shared" si="80"/>
        <v>0</v>
      </c>
      <c r="AN281" s="137">
        <f t="shared" ca="1" si="81"/>
        <v>0</v>
      </c>
      <c r="AO281" s="137">
        <f t="shared" ca="1" si="82"/>
        <v>0</v>
      </c>
      <c r="AP281" s="137">
        <f t="shared" ca="1" si="83"/>
        <v>0</v>
      </c>
      <c r="AQ281" s="137">
        <f t="shared" si="84"/>
        <v>0</v>
      </c>
      <c r="AR281" s="236">
        <f t="shared" ca="1" si="85"/>
        <v>0</v>
      </c>
      <c r="AT281" s="241">
        <f t="shared" ca="1" si="86"/>
        <v>28</v>
      </c>
      <c r="AV281" s="222">
        <f t="shared" ca="1" si="87"/>
        <v>0</v>
      </c>
      <c r="AW281" s="247">
        <f t="shared" si="88"/>
        <v>91</v>
      </c>
      <c r="AY281" s="239">
        <f ca="1">(AE281=5)*('  B  '!F$110=1)*OR(AND(AND(A281&gt;=S$220,A281&gt;=I$214),AND(A281&lt;=S$221,A281&lt;=I$215)),AND(AND(A281&gt;=S$230,A281&gt;=I$224),AND(A281&lt;=S$231,A281&lt;=I$225)),AND(AND(A281&gt;=S$240,A281&gt;=I$234),AND(A281&lt;=S$241,A281&lt;=I$235)))</f>
        <v>0</v>
      </c>
      <c r="BA281" s="222">
        <f t="shared" ca="1" si="89"/>
        <v>0</v>
      </c>
      <c r="BB281" s="55">
        <f t="shared" ca="1" si="90"/>
        <v>0</v>
      </c>
      <c r="BC281" s="247">
        <f t="shared" si="91"/>
        <v>184</v>
      </c>
      <c r="BE281" s="239">
        <f t="shared" ca="1" si="92"/>
        <v>0</v>
      </c>
      <c r="BG281" s="239">
        <f t="shared" ca="1" si="93"/>
        <v>0</v>
      </c>
      <c r="BI281" s="222"/>
      <c r="BJ281" s="137">
        <v>0</v>
      </c>
      <c r="BK281" s="137">
        <v>0</v>
      </c>
      <c r="BL281" s="137">
        <f t="shared" ca="1" si="94"/>
        <v>1</v>
      </c>
      <c r="BM281" s="137">
        <f t="shared" ca="1" si="95"/>
        <v>1</v>
      </c>
      <c r="BN281" s="137">
        <f ca="1">(A281&gt;=N_LFP_Startdatum)*IF('  B  '!F$110=1,NOT(OR(A281&gt;S$221,A281&gt;S$231,A281&gt;S$241)),IF(BB281&gt;BC281,0,1))</f>
        <v>1</v>
      </c>
      <c r="BO281" s="137">
        <f t="shared" ca="1" si="96"/>
        <v>1</v>
      </c>
      <c r="BP281" s="137">
        <v>0</v>
      </c>
      <c r="BQ281" s="137">
        <f t="shared" ca="1" si="97"/>
        <v>1</v>
      </c>
      <c r="BR281" s="653">
        <v>0</v>
      </c>
      <c r="BS281" s="224">
        <f ca="1">(A281&gt;=N_LFP_Startdatum)*IF('  B  '!F$110=1,NOT(OR(A281&gt;S$221,A281&gt;S$231,A281&gt;S$241)),IF(BB281&gt;BC281,0,1))</f>
        <v>1</v>
      </c>
      <c r="BU281" s="562">
        <f t="shared" ca="1" si="98"/>
        <v>0</v>
      </c>
      <c r="BV281" s="156">
        <f ca="1">(R281=0)*MAX(0,(B281+C281+IF(ISERROR(N_NachtStufe),0,D281*OFFSET(Vorgabewerte!E$10:E$14,N_NachtStufe,0,1,1)))-(1-BU281)*N_ArbeitsstundenSollProKT)</f>
        <v>0</v>
      </c>
      <c r="BW281" s="156"/>
      <c r="BX281" s="156">
        <f ca="1">(AE281=5)*('  B  '!F$110=1)*(1-'  B  '!F$113+(AY281*'  B  '!F$114))*(G281*IF(N_ArbeitsstundenSollProKT&gt;0,N_Monatslohn/(P$2*N_ArbeitsstundenSollProKT),0))</f>
        <v>0</v>
      </c>
      <c r="BY281" s="156">
        <f ca="1">((BE281&gt;0)*(1-'  B  '!F$105)+(BE281&gt;'  B  '!F$104)*'  B  '!F$106)*(G281*IF(N_ArbeitsstundenSollProKT&gt;0,N_Monatslohn/(P$2*N_ArbeitsstundenSollProKT),0))</f>
        <v>0</v>
      </c>
      <c r="BZ281" s="156">
        <f t="shared" ca="1" si="99"/>
        <v>0</v>
      </c>
      <c r="CA281" s="156">
        <f t="shared" ca="1" si="100"/>
        <v>0</v>
      </c>
      <c r="CB281" s="156"/>
      <c r="CC281" s="156">
        <f ca="1">(AE281=5)*('  B  '!F$113-(AY281*'  B  '!F$114))*G281*CF$260</f>
        <v>0</v>
      </c>
      <c r="CD281" s="156">
        <f ca="1">((BE281&gt;0)*'  B  '!F$105-(BE281&gt;N_Wartefrist_Unfall)*'  B  '!F$106)*(G281*CF$260)</f>
        <v>0</v>
      </c>
      <c r="CE281" s="156">
        <f ca="1">OR(AE281&lt;5,AE281&gt;6)*G281*OFFSET(Vorgabewerte!C$56,AE281,0,1,1)*CF$260</f>
        <v>0</v>
      </c>
      <c r="CF281" s="156">
        <f t="shared" ca="1" si="101"/>
        <v>0</v>
      </c>
      <c r="CH281" s="270">
        <f ca="1">(AY281=1)*'  B  '!F$114*G281*(N_BruttoStundenSatz_Monatslohn+CF$260)</f>
        <v>0</v>
      </c>
      <c r="CI281" s="270">
        <f ca="1">(BE281&gt;N_Wartefrist_Unfall)*'  B  '!F$106*G281*(N_BruttoStundenSatz_Monatslohn+CF$260)</f>
        <v>0</v>
      </c>
      <c r="CJ281" s="270">
        <f ca="1">IF(VLOOKUP('  B  '!C$65,A_JaNein_Auswahl,2,0)=1,(CH281+CI281)/12,0)</f>
        <v>0</v>
      </c>
      <c r="CK281" s="284">
        <f t="shared" ca="1" si="102"/>
        <v>0</v>
      </c>
      <c r="CL281" s="270">
        <f t="shared" ca="1" si="103"/>
        <v>0</v>
      </c>
      <c r="CM281" s="265">
        <f t="shared" ca="1" si="104"/>
        <v>0</v>
      </c>
      <c r="CO281" s="222"/>
      <c r="CP281" s="137">
        <v>0</v>
      </c>
      <c r="CQ281" s="137">
        <v>0</v>
      </c>
      <c r="CR281" s="137">
        <v>0</v>
      </c>
      <c r="CS281" s="137">
        <f t="shared" ca="1" si="105"/>
        <v>0</v>
      </c>
      <c r="CT281" s="137">
        <f t="shared" ca="1" si="106"/>
        <v>0</v>
      </c>
      <c r="CU281" s="137">
        <f t="shared" ca="1" si="107"/>
        <v>0</v>
      </c>
      <c r="CV281" s="137">
        <v>0</v>
      </c>
      <c r="CW281" s="137">
        <f t="shared" ca="1" si="108"/>
        <v>0</v>
      </c>
      <c r="CX281" s="137">
        <v>0</v>
      </c>
      <c r="CY281" s="224">
        <f t="shared" ca="1" si="109"/>
        <v>0</v>
      </c>
      <c r="DA281" s="260">
        <f ca="1">(AE281=4)*I281*OFFSET(Vorgabewerte!D$56,AE281,0,1,1)*DB$259</f>
        <v>0</v>
      </c>
      <c r="DB281" s="379">
        <f ca="1">(AE281=5)*IF('  B  '!F$110=1,IF(NOT(AY281=1),I281*'  B  '!F$113*MIN(DB$259,DB$260),I281*MAX(0,OFFSET(Vorgabewerte!D$56,AE281,0,1,1)-'  B  '!F$114)*MIN(DB$259,DB$260)),I281*OFFSET(Vorgabewerte!D$56,AE281,0,1,1)*MIN(DB$259,DB$260))</f>
        <v>0</v>
      </c>
      <c r="DC281" s="379">
        <f ca="1">(AE281=6)*IF(NOT(BE281&gt;N_Wartefrist_Unfall),I281*'  B  '!F$105*MIN(DB$259,DB$260),I281*MAX(0,OFFSET(Vorgabewerte!D$56,AE281,0,1,1)-'  B  '!F$106)*MIN(DB$259,DB$260))</f>
        <v>0</v>
      </c>
      <c r="DD281" s="255">
        <f ca="1">NOT(OR(AE281=4,AE281=5,AE281=6))*I281*OFFSET(Vorgabewerte!D$56,AE281,0,1,1)*MIN(DB$259,DB$260)</f>
        <v>0</v>
      </c>
      <c r="DE281" s="278">
        <f t="shared" ca="1" si="110"/>
        <v>0</v>
      </c>
      <c r="DF281" s="279">
        <f t="shared" ca="1" si="111"/>
        <v>0</v>
      </c>
      <c r="DG281" s="280">
        <f t="shared" ca="1" si="112"/>
        <v>0</v>
      </c>
      <c r="DI281" s="260">
        <f ca="1">(AE281=4)*I281*OFFSET(Vorgabewerte!D$56,AE281,0,1,1)*DJ$260</f>
        <v>0</v>
      </c>
      <c r="DJ281" s="379">
        <f ca="1">(AE281=5)*IF('  B  '!F$110=1,IF(NOT(AY281=1),I281*'  B  '!F$113*DJ$260,I281*MAX(0,OFFSET(Vorgabewerte!D$56,AE281,0,1,1)-'  B  '!F$114)*DJ$260),I281*OFFSET(Vorgabewerte!D$56,AE281,0,1,1)*DJ$260)</f>
        <v>0</v>
      </c>
      <c r="DK281" s="379">
        <f ca="1">(AE281=6)*IF(NOT(BE281&gt;N_Wartefrist_Unfall),I281*'  B  '!F$105*DJ$260,I281*MAX(0,OFFSET(Vorgabewerte!D$56,AE281,0,1,1)-'  B  '!F$106)*DJ$260)</f>
        <v>0</v>
      </c>
      <c r="DL281" s="255">
        <f ca="1">NOT(OR(AM281=4,AM281=5,AM281=6))*Q281*OFFSET(Vorgabewerte!L$56,AM281,0,1,1)*DJ$260</f>
        <v>0</v>
      </c>
      <c r="DM281" s="674">
        <f t="shared" ca="1" si="115"/>
        <v>0</v>
      </c>
      <c r="DN281" s="279">
        <f t="shared" ca="1" si="116"/>
        <v>0</v>
      </c>
      <c r="DO281" s="279">
        <f t="shared" ca="1" si="117"/>
        <v>0</v>
      </c>
    </row>
    <row r="282" spans="1:119" x14ac:dyDescent="0.25">
      <c r="A282" s="153">
        <f t="shared" si="113"/>
        <v>45492</v>
      </c>
      <c r="B282" s="154"/>
      <c r="C282" s="154"/>
      <c r="D282" s="154"/>
      <c r="E282" s="875" t="str">
        <f t="shared" ca="1" si="57"/>
        <v/>
      </c>
      <c r="F282" s="876"/>
      <c r="G282" s="667">
        <f t="shared" ca="1" si="114"/>
        <v>0</v>
      </c>
      <c r="H282" s="667">
        <f t="shared" ca="1" si="58"/>
        <v>0</v>
      </c>
      <c r="I282" s="667">
        <f t="shared" ca="1" si="59"/>
        <v>0</v>
      </c>
      <c r="P282" s="151">
        <f t="shared" si="60"/>
        <v>125</v>
      </c>
      <c r="R282" s="55">
        <f t="shared" si="61"/>
        <v>0</v>
      </c>
      <c r="S282" s="55">
        <f t="shared" si="62"/>
        <v>1</v>
      </c>
      <c r="U282" s="226">
        <f t="shared" si="63"/>
        <v>0</v>
      </c>
      <c r="V282" s="137">
        <f t="shared" ca="1" si="64"/>
        <v>0</v>
      </c>
      <c r="W282" s="137">
        <f t="shared" si="65"/>
        <v>0</v>
      </c>
      <c r="X282" s="137">
        <f t="shared" si="66"/>
        <v>0</v>
      </c>
      <c r="Y282" s="137">
        <f t="shared" ca="1" si="67"/>
        <v>0</v>
      </c>
      <c r="Z282" s="137">
        <f t="shared" ca="1" si="68"/>
        <v>0</v>
      </c>
      <c r="AA282" s="137">
        <f t="shared" ca="1" si="69"/>
        <v>0</v>
      </c>
      <c r="AB282" s="137">
        <f t="shared" ca="1" si="70"/>
        <v>0</v>
      </c>
      <c r="AC282" s="137">
        <f t="shared" ca="1" si="71"/>
        <v>0</v>
      </c>
      <c r="AD282" s="137">
        <f t="shared" ca="1" si="72"/>
        <v>0</v>
      </c>
      <c r="AE282" s="223">
        <f t="shared" ca="1" si="73"/>
        <v>0</v>
      </c>
      <c r="AF282" s="229" t="str">
        <f t="shared" ca="1" si="74"/>
        <v/>
      </c>
      <c r="AH282" s="235">
        <f t="shared" si="75"/>
        <v>45492</v>
      </c>
      <c r="AI282" s="137">
        <f t="shared" ca="1" si="76"/>
        <v>0</v>
      </c>
      <c r="AJ282" s="137">
        <f t="shared" si="77"/>
        <v>0</v>
      </c>
      <c r="AK282" s="137">
        <f t="shared" ca="1" si="78"/>
        <v>0</v>
      </c>
      <c r="AL282" s="137">
        <f t="shared" ca="1" si="79"/>
        <v>0</v>
      </c>
      <c r="AM282" s="137">
        <f t="shared" si="80"/>
        <v>0</v>
      </c>
      <c r="AN282" s="137">
        <f t="shared" ca="1" si="81"/>
        <v>0</v>
      </c>
      <c r="AO282" s="137">
        <f t="shared" ca="1" si="82"/>
        <v>0</v>
      </c>
      <c r="AP282" s="137">
        <f t="shared" ca="1" si="83"/>
        <v>0</v>
      </c>
      <c r="AQ282" s="137">
        <f t="shared" si="84"/>
        <v>0</v>
      </c>
      <c r="AR282" s="236">
        <f t="shared" ca="1" si="85"/>
        <v>0</v>
      </c>
      <c r="AT282" s="241">
        <f t="shared" ca="1" si="86"/>
        <v>28</v>
      </c>
      <c r="AV282" s="222">
        <f t="shared" ca="1" si="87"/>
        <v>0</v>
      </c>
      <c r="AW282" s="247">
        <f t="shared" si="88"/>
        <v>91</v>
      </c>
      <c r="AY282" s="239">
        <f ca="1">(AE282=5)*('  B  '!F$110=1)*OR(AND(AND(A282&gt;=S$220,A282&gt;=I$214),AND(A282&lt;=S$221,A282&lt;=I$215)),AND(AND(A282&gt;=S$230,A282&gt;=I$224),AND(A282&lt;=S$231,A282&lt;=I$225)),AND(AND(A282&gt;=S$240,A282&gt;=I$234),AND(A282&lt;=S$241,A282&lt;=I$235)))</f>
        <v>0</v>
      </c>
      <c r="BA282" s="222">
        <f t="shared" ca="1" si="89"/>
        <v>0</v>
      </c>
      <c r="BB282" s="55">
        <f t="shared" ca="1" si="90"/>
        <v>0</v>
      </c>
      <c r="BC282" s="247">
        <f t="shared" si="91"/>
        <v>184</v>
      </c>
      <c r="BE282" s="239">
        <f t="shared" ca="1" si="92"/>
        <v>0</v>
      </c>
      <c r="BG282" s="239">
        <f t="shared" ca="1" si="93"/>
        <v>0</v>
      </c>
      <c r="BI282" s="222"/>
      <c r="BJ282" s="137">
        <v>0</v>
      </c>
      <c r="BK282" s="137">
        <v>0</v>
      </c>
      <c r="BL282" s="137">
        <f t="shared" ca="1" si="94"/>
        <v>1</v>
      </c>
      <c r="BM282" s="137">
        <f t="shared" ca="1" si="95"/>
        <v>1</v>
      </c>
      <c r="BN282" s="137">
        <f ca="1">(A282&gt;=N_LFP_Startdatum)*IF('  B  '!F$110=1,NOT(OR(A282&gt;S$221,A282&gt;S$231,A282&gt;S$241)),IF(BB282&gt;BC282,0,1))</f>
        <v>1</v>
      </c>
      <c r="BO282" s="137">
        <f t="shared" ca="1" si="96"/>
        <v>1</v>
      </c>
      <c r="BP282" s="137">
        <v>0</v>
      </c>
      <c r="BQ282" s="137">
        <f t="shared" ca="1" si="97"/>
        <v>1</v>
      </c>
      <c r="BR282" s="653">
        <v>0</v>
      </c>
      <c r="BS282" s="224">
        <f ca="1">(A282&gt;=N_LFP_Startdatum)*IF('  B  '!F$110=1,NOT(OR(A282&gt;S$221,A282&gt;S$231,A282&gt;S$241)),IF(BB282&gt;BC282,0,1))</f>
        <v>1</v>
      </c>
      <c r="BU282" s="562">
        <f t="shared" ca="1" si="98"/>
        <v>0</v>
      </c>
      <c r="BV282" s="156">
        <f ca="1">(R282=0)*MAX(0,(B282+C282+IF(ISERROR(N_NachtStufe),0,D282*OFFSET(Vorgabewerte!E$10:E$14,N_NachtStufe,0,1,1)))-(1-BU282)*N_ArbeitsstundenSollProKT)</f>
        <v>0</v>
      </c>
      <c r="BW282" s="156"/>
      <c r="BX282" s="156">
        <f ca="1">(AE282=5)*('  B  '!F$110=1)*(1-'  B  '!F$113+(AY282*'  B  '!F$114))*(G282*IF(N_ArbeitsstundenSollProKT&gt;0,N_Monatslohn/(P$2*N_ArbeitsstundenSollProKT),0))</f>
        <v>0</v>
      </c>
      <c r="BY282" s="156">
        <f ca="1">((BE282&gt;0)*(1-'  B  '!F$105)+(BE282&gt;'  B  '!F$104)*'  B  '!F$106)*(G282*IF(N_ArbeitsstundenSollProKT&gt;0,N_Monatslohn/(P$2*N_ArbeitsstundenSollProKT),0))</f>
        <v>0</v>
      </c>
      <c r="BZ282" s="156">
        <f t="shared" ca="1" si="99"/>
        <v>0</v>
      </c>
      <c r="CA282" s="156">
        <f t="shared" ca="1" si="100"/>
        <v>0</v>
      </c>
      <c r="CB282" s="156"/>
      <c r="CC282" s="156">
        <f ca="1">(AE282=5)*('  B  '!F$113-(AY282*'  B  '!F$114))*G282*CF$260</f>
        <v>0</v>
      </c>
      <c r="CD282" s="156">
        <f ca="1">((BE282&gt;0)*'  B  '!F$105-(BE282&gt;N_Wartefrist_Unfall)*'  B  '!F$106)*(G282*CF$260)</f>
        <v>0</v>
      </c>
      <c r="CE282" s="156">
        <f ca="1">OR(AE282&lt;5,AE282&gt;6)*G282*OFFSET(Vorgabewerte!C$56,AE282,0,1,1)*CF$260</f>
        <v>0</v>
      </c>
      <c r="CF282" s="156">
        <f t="shared" ca="1" si="101"/>
        <v>0</v>
      </c>
      <c r="CH282" s="270">
        <f ca="1">(AY282=1)*'  B  '!F$114*G282*(N_BruttoStundenSatz_Monatslohn+CF$260)</f>
        <v>0</v>
      </c>
      <c r="CI282" s="270">
        <f ca="1">(BE282&gt;N_Wartefrist_Unfall)*'  B  '!F$106*G282*(N_BruttoStundenSatz_Monatslohn+CF$260)</f>
        <v>0</v>
      </c>
      <c r="CJ282" s="270">
        <f ca="1">IF(VLOOKUP('  B  '!C$65,A_JaNein_Auswahl,2,0)=1,(CH282+CI282)/12,0)</f>
        <v>0</v>
      </c>
      <c r="CK282" s="284">
        <f t="shared" ca="1" si="102"/>
        <v>0</v>
      </c>
      <c r="CL282" s="270">
        <f t="shared" ca="1" si="103"/>
        <v>0</v>
      </c>
      <c r="CM282" s="265">
        <f t="shared" ca="1" si="104"/>
        <v>0</v>
      </c>
      <c r="CO282" s="222"/>
      <c r="CP282" s="137">
        <v>0</v>
      </c>
      <c r="CQ282" s="137">
        <v>0</v>
      </c>
      <c r="CR282" s="137">
        <v>0</v>
      </c>
      <c r="CS282" s="137">
        <f t="shared" ca="1" si="105"/>
        <v>0</v>
      </c>
      <c r="CT282" s="137">
        <f t="shared" ca="1" si="106"/>
        <v>0</v>
      </c>
      <c r="CU282" s="137">
        <f t="shared" ca="1" si="107"/>
        <v>0</v>
      </c>
      <c r="CV282" s="137">
        <v>0</v>
      </c>
      <c r="CW282" s="137">
        <f t="shared" ca="1" si="108"/>
        <v>0</v>
      </c>
      <c r="CX282" s="137">
        <v>0</v>
      </c>
      <c r="CY282" s="224">
        <f t="shared" ca="1" si="109"/>
        <v>0</v>
      </c>
      <c r="DA282" s="260">
        <f ca="1">(AE282=4)*I282*OFFSET(Vorgabewerte!D$56,AE282,0,1,1)*DB$259</f>
        <v>0</v>
      </c>
      <c r="DB282" s="379">
        <f ca="1">(AE282=5)*IF('  B  '!F$110=1,IF(NOT(AY282=1),I282*'  B  '!F$113*MIN(DB$259,DB$260),I282*MAX(0,OFFSET(Vorgabewerte!D$56,AE282,0,1,1)-'  B  '!F$114)*MIN(DB$259,DB$260)),I282*OFFSET(Vorgabewerte!D$56,AE282,0,1,1)*MIN(DB$259,DB$260))</f>
        <v>0</v>
      </c>
      <c r="DC282" s="379">
        <f ca="1">(AE282=6)*IF(NOT(BE282&gt;N_Wartefrist_Unfall),I282*'  B  '!F$105*MIN(DB$259,DB$260),I282*MAX(0,OFFSET(Vorgabewerte!D$56,AE282,0,1,1)-'  B  '!F$106)*MIN(DB$259,DB$260))</f>
        <v>0</v>
      </c>
      <c r="DD282" s="255">
        <f ca="1">NOT(OR(AE282=4,AE282=5,AE282=6))*I282*OFFSET(Vorgabewerte!D$56,AE282,0,1,1)*MIN(DB$259,DB$260)</f>
        <v>0</v>
      </c>
      <c r="DE282" s="278">
        <f t="shared" ca="1" si="110"/>
        <v>0</v>
      </c>
      <c r="DF282" s="279">
        <f t="shared" ca="1" si="111"/>
        <v>0</v>
      </c>
      <c r="DG282" s="280">
        <f t="shared" ca="1" si="112"/>
        <v>0</v>
      </c>
      <c r="DI282" s="260">
        <f ca="1">(AE282=4)*I282*OFFSET(Vorgabewerte!D$56,AE282,0,1,1)*DJ$260</f>
        <v>0</v>
      </c>
      <c r="DJ282" s="379">
        <f ca="1">(AE282=5)*IF('  B  '!F$110=1,IF(NOT(AY282=1),I282*'  B  '!F$113*DJ$260,I282*MAX(0,OFFSET(Vorgabewerte!D$56,AE282,0,1,1)-'  B  '!F$114)*DJ$260),I282*OFFSET(Vorgabewerte!D$56,AE282,0,1,1)*DJ$260)</f>
        <v>0</v>
      </c>
      <c r="DK282" s="379">
        <f ca="1">(AE282=6)*IF(NOT(BE282&gt;N_Wartefrist_Unfall),I282*'  B  '!F$105*DJ$260,I282*MAX(0,OFFSET(Vorgabewerte!D$56,AE282,0,1,1)-'  B  '!F$106)*DJ$260)</f>
        <v>0</v>
      </c>
      <c r="DL282" s="255">
        <f ca="1">NOT(OR(AM282=4,AM282=5,AM282=6))*Q282*OFFSET(Vorgabewerte!L$56,AM282,0,1,1)*DJ$260</f>
        <v>0</v>
      </c>
      <c r="DM282" s="674">
        <f t="shared" ca="1" si="115"/>
        <v>0</v>
      </c>
      <c r="DN282" s="279">
        <f t="shared" ca="1" si="116"/>
        <v>0</v>
      </c>
      <c r="DO282" s="279">
        <f t="shared" ca="1" si="117"/>
        <v>0</v>
      </c>
    </row>
    <row r="283" spans="1:119" x14ac:dyDescent="0.25">
      <c r="A283" s="153">
        <f t="shared" si="113"/>
        <v>45493</v>
      </c>
      <c r="B283" s="154"/>
      <c r="C283" s="154"/>
      <c r="D283" s="154"/>
      <c r="E283" s="875" t="str">
        <f t="shared" ca="1" si="57"/>
        <v/>
      </c>
      <c r="F283" s="876"/>
      <c r="G283" s="667">
        <f t="shared" ca="1" si="114"/>
        <v>0</v>
      </c>
      <c r="H283" s="667">
        <f t="shared" ca="1" si="58"/>
        <v>0</v>
      </c>
      <c r="I283" s="667">
        <f t="shared" ca="1" si="59"/>
        <v>0</v>
      </c>
      <c r="P283" s="151">
        <f t="shared" si="60"/>
        <v>125</v>
      </c>
      <c r="R283" s="55">
        <f t="shared" si="61"/>
        <v>0</v>
      </c>
      <c r="S283" s="55">
        <f t="shared" si="62"/>
        <v>1</v>
      </c>
      <c r="U283" s="226">
        <f t="shared" si="63"/>
        <v>0</v>
      </c>
      <c r="V283" s="137">
        <f t="shared" ca="1" si="64"/>
        <v>0</v>
      </c>
      <c r="W283" s="137">
        <f t="shared" si="65"/>
        <v>0</v>
      </c>
      <c r="X283" s="137">
        <f t="shared" si="66"/>
        <v>0</v>
      </c>
      <c r="Y283" s="137">
        <f t="shared" ca="1" si="67"/>
        <v>0</v>
      </c>
      <c r="Z283" s="137">
        <f t="shared" ca="1" si="68"/>
        <v>0</v>
      </c>
      <c r="AA283" s="137">
        <f t="shared" ca="1" si="69"/>
        <v>0</v>
      </c>
      <c r="AB283" s="137">
        <f t="shared" ca="1" si="70"/>
        <v>0</v>
      </c>
      <c r="AC283" s="137">
        <f t="shared" ca="1" si="71"/>
        <v>0</v>
      </c>
      <c r="AD283" s="137">
        <f t="shared" ca="1" si="72"/>
        <v>0</v>
      </c>
      <c r="AE283" s="223">
        <f t="shared" ca="1" si="73"/>
        <v>0</v>
      </c>
      <c r="AF283" s="229" t="str">
        <f t="shared" ca="1" si="74"/>
        <v/>
      </c>
      <c r="AH283" s="235">
        <f t="shared" si="75"/>
        <v>45493</v>
      </c>
      <c r="AI283" s="137">
        <f t="shared" ca="1" si="76"/>
        <v>0</v>
      </c>
      <c r="AJ283" s="137">
        <f t="shared" si="77"/>
        <v>0</v>
      </c>
      <c r="AK283" s="137">
        <f t="shared" ca="1" si="78"/>
        <v>0</v>
      </c>
      <c r="AL283" s="137">
        <f t="shared" ca="1" si="79"/>
        <v>0</v>
      </c>
      <c r="AM283" s="137">
        <f t="shared" si="80"/>
        <v>0</v>
      </c>
      <c r="AN283" s="137">
        <f t="shared" ca="1" si="81"/>
        <v>0</v>
      </c>
      <c r="AO283" s="137">
        <f t="shared" ca="1" si="82"/>
        <v>0</v>
      </c>
      <c r="AP283" s="137">
        <f t="shared" ca="1" si="83"/>
        <v>0</v>
      </c>
      <c r="AQ283" s="137">
        <f t="shared" si="84"/>
        <v>0</v>
      </c>
      <c r="AR283" s="236">
        <f t="shared" ca="1" si="85"/>
        <v>0</v>
      </c>
      <c r="AT283" s="241">
        <f t="shared" ca="1" si="86"/>
        <v>28</v>
      </c>
      <c r="AV283" s="222">
        <f t="shared" ca="1" si="87"/>
        <v>0</v>
      </c>
      <c r="AW283" s="247">
        <f t="shared" si="88"/>
        <v>91</v>
      </c>
      <c r="AY283" s="239">
        <f ca="1">(AE283=5)*('  B  '!F$110=1)*OR(AND(AND(A283&gt;=S$220,A283&gt;=I$214),AND(A283&lt;=S$221,A283&lt;=I$215)),AND(AND(A283&gt;=S$230,A283&gt;=I$224),AND(A283&lt;=S$231,A283&lt;=I$225)),AND(AND(A283&gt;=S$240,A283&gt;=I$234),AND(A283&lt;=S$241,A283&lt;=I$235)))</f>
        <v>0</v>
      </c>
      <c r="BA283" s="222">
        <f t="shared" ca="1" si="89"/>
        <v>0</v>
      </c>
      <c r="BB283" s="55">
        <f t="shared" ca="1" si="90"/>
        <v>0</v>
      </c>
      <c r="BC283" s="247">
        <f t="shared" si="91"/>
        <v>184</v>
      </c>
      <c r="BE283" s="239">
        <f t="shared" ca="1" si="92"/>
        <v>0</v>
      </c>
      <c r="BG283" s="239">
        <f t="shared" ca="1" si="93"/>
        <v>0</v>
      </c>
      <c r="BI283" s="222"/>
      <c r="BJ283" s="137">
        <v>0</v>
      </c>
      <c r="BK283" s="137">
        <v>0</v>
      </c>
      <c r="BL283" s="137">
        <f t="shared" ca="1" si="94"/>
        <v>1</v>
      </c>
      <c r="BM283" s="137">
        <f t="shared" ca="1" si="95"/>
        <v>1</v>
      </c>
      <c r="BN283" s="137">
        <f ca="1">(A283&gt;=N_LFP_Startdatum)*IF('  B  '!F$110=1,NOT(OR(A283&gt;S$221,A283&gt;S$231,A283&gt;S$241)),IF(BB283&gt;BC283,0,1))</f>
        <v>1</v>
      </c>
      <c r="BO283" s="137">
        <f t="shared" ca="1" si="96"/>
        <v>1</v>
      </c>
      <c r="BP283" s="137">
        <v>0</v>
      </c>
      <c r="BQ283" s="137">
        <f t="shared" ca="1" si="97"/>
        <v>1</v>
      </c>
      <c r="BR283" s="653">
        <v>0</v>
      </c>
      <c r="BS283" s="224">
        <f ca="1">(A283&gt;=N_LFP_Startdatum)*IF('  B  '!F$110=1,NOT(OR(A283&gt;S$221,A283&gt;S$231,A283&gt;S$241)),IF(BB283&gt;BC283,0,1))</f>
        <v>1</v>
      </c>
      <c r="BU283" s="562">
        <f t="shared" ca="1" si="98"/>
        <v>0</v>
      </c>
      <c r="BV283" s="156">
        <f ca="1">(R283=0)*MAX(0,(B283+C283+IF(ISERROR(N_NachtStufe),0,D283*OFFSET(Vorgabewerte!E$10:E$14,N_NachtStufe,0,1,1)))-(1-BU283)*N_ArbeitsstundenSollProKT)</f>
        <v>0</v>
      </c>
      <c r="BW283" s="156"/>
      <c r="BX283" s="156">
        <f ca="1">(AE283=5)*('  B  '!F$110=1)*(1-'  B  '!F$113+(AY283*'  B  '!F$114))*(G283*IF(N_ArbeitsstundenSollProKT&gt;0,N_Monatslohn/(P$2*N_ArbeitsstundenSollProKT),0))</f>
        <v>0</v>
      </c>
      <c r="BY283" s="156">
        <f ca="1">((BE283&gt;0)*(1-'  B  '!F$105)+(BE283&gt;'  B  '!F$104)*'  B  '!F$106)*(G283*IF(N_ArbeitsstundenSollProKT&gt;0,N_Monatslohn/(P$2*N_ArbeitsstundenSollProKT),0))</f>
        <v>0</v>
      </c>
      <c r="BZ283" s="156">
        <f t="shared" ca="1" si="99"/>
        <v>0</v>
      </c>
      <c r="CA283" s="156">
        <f t="shared" ca="1" si="100"/>
        <v>0</v>
      </c>
      <c r="CB283" s="156"/>
      <c r="CC283" s="156">
        <f ca="1">(AE283=5)*('  B  '!F$113-(AY283*'  B  '!F$114))*G283*CF$260</f>
        <v>0</v>
      </c>
      <c r="CD283" s="156">
        <f ca="1">((BE283&gt;0)*'  B  '!F$105-(BE283&gt;N_Wartefrist_Unfall)*'  B  '!F$106)*(G283*CF$260)</f>
        <v>0</v>
      </c>
      <c r="CE283" s="156">
        <f ca="1">OR(AE283&lt;5,AE283&gt;6)*G283*OFFSET(Vorgabewerte!C$56,AE283,0,1,1)*CF$260</f>
        <v>0</v>
      </c>
      <c r="CF283" s="156">
        <f t="shared" ca="1" si="101"/>
        <v>0</v>
      </c>
      <c r="CH283" s="270">
        <f ca="1">(AY283=1)*'  B  '!F$114*G283*(N_BruttoStundenSatz_Monatslohn+CF$260)</f>
        <v>0</v>
      </c>
      <c r="CI283" s="270">
        <f ca="1">(BE283&gt;N_Wartefrist_Unfall)*'  B  '!F$106*G283*(N_BruttoStundenSatz_Monatslohn+CF$260)</f>
        <v>0</v>
      </c>
      <c r="CJ283" s="270">
        <f ca="1">IF(VLOOKUP('  B  '!C$65,A_JaNein_Auswahl,2,0)=1,(CH283+CI283)/12,0)</f>
        <v>0</v>
      </c>
      <c r="CK283" s="284">
        <f t="shared" ca="1" si="102"/>
        <v>0</v>
      </c>
      <c r="CL283" s="270">
        <f t="shared" ca="1" si="103"/>
        <v>0</v>
      </c>
      <c r="CM283" s="265">
        <f t="shared" ca="1" si="104"/>
        <v>0</v>
      </c>
      <c r="CO283" s="222"/>
      <c r="CP283" s="137">
        <v>0</v>
      </c>
      <c r="CQ283" s="137">
        <v>0</v>
      </c>
      <c r="CR283" s="137">
        <v>0</v>
      </c>
      <c r="CS283" s="137">
        <f t="shared" ca="1" si="105"/>
        <v>0</v>
      </c>
      <c r="CT283" s="137">
        <f t="shared" ca="1" si="106"/>
        <v>0</v>
      </c>
      <c r="CU283" s="137">
        <f t="shared" ca="1" si="107"/>
        <v>0</v>
      </c>
      <c r="CV283" s="137">
        <v>0</v>
      </c>
      <c r="CW283" s="137">
        <f t="shared" ca="1" si="108"/>
        <v>0</v>
      </c>
      <c r="CX283" s="137">
        <v>0</v>
      </c>
      <c r="CY283" s="224">
        <f t="shared" ca="1" si="109"/>
        <v>0</v>
      </c>
      <c r="DA283" s="260">
        <f ca="1">(AE283=4)*I283*OFFSET(Vorgabewerte!D$56,AE283,0,1,1)*DB$259</f>
        <v>0</v>
      </c>
      <c r="DB283" s="379">
        <f ca="1">(AE283=5)*IF('  B  '!F$110=1,IF(NOT(AY283=1),I283*'  B  '!F$113*MIN(DB$259,DB$260),I283*MAX(0,OFFSET(Vorgabewerte!D$56,AE283,0,1,1)-'  B  '!F$114)*MIN(DB$259,DB$260)),I283*OFFSET(Vorgabewerte!D$56,AE283,0,1,1)*MIN(DB$259,DB$260))</f>
        <v>0</v>
      </c>
      <c r="DC283" s="379">
        <f ca="1">(AE283=6)*IF(NOT(BE283&gt;N_Wartefrist_Unfall),I283*'  B  '!F$105*MIN(DB$259,DB$260),I283*MAX(0,OFFSET(Vorgabewerte!D$56,AE283,0,1,1)-'  B  '!F$106)*MIN(DB$259,DB$260))</f>
        <v>0</v>
      </c>
      <c r="DD283" s="255">
        <f ca="1">NOT(OR(AE283=4,AE283=5,AE283=6))*I283*OFFSET(Vorgabewerte!D$56,AE283,0,1,1)*MIN(DB$259,DB$260)</f>
        <v>0</v>
      </c>
      <c r="DE283" s="278">
        <f t="shared" ca="1" si="110"/>
        <v>0</v>
      </c>
      <c r="DF283" s="279">
        <f t="shared" ca="1" si="111"/>
        <v>0</v>
      </c>
      <c r="DG283" s="280">
        <f t="shared" ca="1" si="112"/>
        <v>0</v>
      </c>
      <c r="DI283" s="260">
        <f ca="1">(AE283=4)*I283*OFFSET(Vorgabewerte!D$56,AE283,0,1,1)*DJ$260</f>
        <v>0</v>
      </c>
      <c r="DJ283" s="379">
        <f ca="1">(AE283=5)*IF('  B  '!F$110=1,IF(NOT(AY283=1),I283*'  B  '!F$113*DJ$260,I283*MAX(0,OFFSET(Vorgabewerte!D$56,AE283,0,1,1)-'  B  '!F$114)*DJ$260),I283*OFFSET(Vorgabewerte!D$56,AE283,0,1,1)*DJ$260)</f>
        <v>0</v>
      </c>
      <c r="DK283" s="379">
        <f ca="1">(AE283=6)*IF(NOT(BE283&gt;N_Wartefrist_Unfall),I283*'  B  '!F$105*DJ$260,I283*MAX(0,OFFSET(Vorgabewerte!D$56,AE283,0,1,1)-'  B  '!F$106)*DJ$260)</f>
        <v>0</v>
      </c>
      <c r="DL283" s="255">
        <f ca="1">NOT(OR(AM283=4,AM283=5,AM283=6))*Q283*OFFSET(Vorgabewerte!L$56,AM283,0,1,1)*DJ$260</f>
        <v>0</v>
      </c>
      <c r="DM283" s="674">
        <f t="shared" ca="1" si="115"/>
        <v>0</v>
      </c>
      <c r="DN283" s="279">
        <f t="shared" ca="1" si="116"/>
        <v>0</v>
      </c>
      <c r="DO283" s="279">
        <f t="shared" ca="1" si="117"/>
        <v>0</v>
      </c>
    </row>
    <row r="284" spans="1:119" ht="12.75" customHeight="1" x14ac:dyDescent="0.25">
      <c r="A284" s="153">
        <f t="shared" si="113"/>
        <v>45494</v>
      </c>
      <c r="B284" s="154"/>
      <c r="C284" s="154"/>
      <c r="D284" s="154"/>
      <c r="E284" s="875" t="str">
        <f t="shared" ca="1" si="57"/>
        <v/>
      </c>
      <c r="F284" s="876"/>
      <c r="G284" s="667">
        <f t="shared" ca="1" si="114"/>
        <v>0</v>
      </c>
      <c r="H284" s="667">
        <f t="shared" ca="1" si="58"/>
        <v>0</v>
      </c>
      <c r="I284" s="667">
        <f t="shared" ca="1" si="59"/>
        <v>0</v>
      </c>
      <c r="P284" s="151">
        <f t="shared" si="60"/>
        <v>125</v>
      </c>
      <c r="R284" s="55">
        <f t="shared" si="61"/>
        <v>0</v>
      </c>
      <c r="S284" s="55">
        <f t="shared" si="62"/>
        <v>1</v>
      </c>
      <c r="U284" s="226">
        <f t="shared" si="63"/>
        <v>0</v>
      </c>
      <c r="V284" s="137">
        <f t="shared" ca="1" si="64"/>
        <v>0</v>
      </c>
      <c r="W284" s="137">
        <f t="shared" si="65"/>
        <v>0</v>
      </c>
      <c r="X284" s="137">
        <f t="shared" si="66"/>
        <v>0</v>
      </c>
      <c r="Y284" s="137">
        <f t="shared" ca="1" si="67"/>
        <v>0</v>
      </c>
      <c r="Z284" s="137">
        <f t="shared" ca="1" si="68"/>
        <v>0</v>
      </c>
      <c r="AA284" s="137">
        <f t="shared" ca="1" si="69"/>
        <v>0</v>
      </c>
      <c r="AB284" s="137">
        <f t="shared" ca="1" si="70"/>
        <v>0</v>
      </c>
      <c r="AC284" s="137">
        <f t="shared" ca="1" si="71"/>
        <v>0</v>
      </c>
      <c r="AD284" s="137">
        <f t="shared" ca="1" si="72"/>
        <v>0</v>
      </c>
      <c r="AE284" s="223">
        <f t="shared" ca="1" si="73"/>
        <v>0</v>
      </c>
      <c r="AF284" s="229" t="str">
        <f t="shared" ca="1" si="74"/>
        <v/>
      </c>
      <c r="AH284" s="235">
        <f t="shared" si="75"/>
        <v>45494</v>
      </c>
      <c r="AI284" s="137">
        <f t="shared" ca="1" si="76"/>
        <v>0</v>
      </c>
      <c r="AJ284" s="137">
        <f t="shared" si="77"/>
        <v>0</v>
      </c>
      <c r="AK284" s="137">
        <f t="shared" ca="1" si="78"/>
        <v>0</v>
      </c>
      <c r="AL284" s="137">
        <f t="shared" ca="1" si="79"/>
        <v>0</v>
      </c>
      <c r="AM284" s="137">
        <f t="shared" si="80"/>
        <v>0</v>
      </c>
      <c r="AN284" s="137">
        <f t="shared" ca="1" si="81"/>
        <v>0</v>
      </c>
      <c r="AO284" s="137">
        <f t="shared" ca="1" si="82"/>
        <v>0</v>
      </c>
      <c r="AP284" s="137">
        <f t="shared" ca="1" si="83"/>
        <v>0</v>
      </c>
      <c r="AQ284" s="137">
        <f t="shared" si="84"/>
        <v>0</v>
      </c>
      <c r="AR284" s="236">
        <f t="shared" ca="1" si="85"/>
        <v>0</v>
      </c>
      <c r="AT284" s="241">
        <f t="shared" ca="1" si="86"/>
        <v>28</v>
      </c>
      <c r="AV284" s="222">
        <f t="shared" ca="1" si="87"/>
        <v>0</v>
      </c>
      <c r="AW284" s="247">
        <f t="shared" si="88"/>
        <v>91</v>
      </c>
      <c r="AY284" s="239">
        <f ca="1">(AE284=5)*('  B  '!F$110=1)*OR(AND(AND(A284&gt;=S$220,A284&gt;=I$214),AND(A284&lt;=S$221,A284&lt;=I$215)),AND(AND(A284&gt;=S$230,A284&gt;=I$224),AND(A284&lt;=S$231,A284&lt;=I$225)),AND(AND(A284&gt;=S$240,A284&gt;=I$234),AND(A284&lt;=S$241,A284&lt;=I$235)))</f>
        <v>0</v>
      </c>
      <c r="BA284" s="222">
        <f t="shared" ca="1" si="89"/>
        <v>0</v>
      </c>
      <c r="BB284" s="55">
        <f t="shared" ca="1" si="90"/>
        <v>0</v>
      </c>
      <c r="BC284" s="247">
        <f t="shared" si="91"/>
        <v>184</v>
      </c>
      <c r="BE284" s="239">
        <f t="shared" ca="1" si="92"/>
        <v>0</v>
      </c>
      <c r="BG284" s="239">
        <f t="shared" ca="1" si="93"/>
        <v>0</v>
      </c>
      <c r="BI284" s="222"/>
      <c r="BJ284" s="137">
        <v>0</v>
      </c>
      <c r="BK284" s="137">
        <v>0</v>
      </c>
      <c r="BL284" s="137">
        <f t="shared" ca="1" si="94"/>
        <v>1</v>
      </c>
      <c r="BM284" s="137">
        <f t="shared" ca="1" si="95"/>
        <v>1</v>
      </c>
      <c r="BN284" s="137">
        <f ca="1">(A284&gt;=N_LFP_Startdatum)*IF('  B  '!F$110=1,NOT(OR(A284&gt;S$221,A284&gt;S$231,A284&gt;S$241)),IF(BB284&gt;BC284,0,1))</f>
        <v>1</v>
      </c>
      <c r="BO284" s="137">
        <f t="shared" ca="1" si="96"/>
        <v>1</v>
      </c>
      <c r="BP284" s="137">
        <v>0</v>
      </c>
      <c r="BQ284" s="137">
        <f t="shared" ca="1" si="97"/>
        <v>1</v>
      </c>
      <c r="BR284" s="653">
        <v>0</v>
      </c>
      <c r="BS284" s="224">
        <f ca="1">(A284&gt;=N_LFP_Startdatum)*IF('  B  '!F$110=1,NOT(OR(A284&gt;S$221,A284&gt;S$231,A284&gt;S$241)),IF(BB284&gt;BC284,0,1))</f>
        <v>1</v>
      </c>
      <c r="BU284" s="562">
        <f t="shared" ca="1" si="98"/>
        <v>0</v>
      </c>
      <c r="BV284" s="156">
        <f ca="1">(R284=0)*MAX(0,(B284+C284+IF(ISERROR(N_NachtStufe),0,D284*OFFSET(Vorgabewerte!E$10:E$14,N_NachtStufe,0,1,1)))-(1-BU284)*N_ArbeitsstundenSollProKT)</f>
        <v>0</v>
      </c>
      <c r="BW284" s="156"/>
      <c r="BX284" s="156">
        <f ca="1">(AE284=5)*('  B  '!F$110=1)*(1-'  B  '!F$113+(AY284*'  B  '!F$114))*(G284*IF(N_ArbeitsstundenSollProKT&gt;0,N_Monatslohn/(P$2*N_ArbeitsstundenSollProKT),0))</f>
        <v>0</v>
      </c>
      <c r="BY284" s="156">
        <f ca="1">((BE284&gt;0)*(1-'  B  '!F$105)+(BE284&gt;'  B  '!F$104)*'  B  '!F$106)*(G284*IF(N_ArbeitsstundenSollProKT&gt;0,N_Monatslohn/(P$2*N_ArbeitsstundenSollProKT),0))</f>
        <v>0</v>
      </c>
      <c r="BZ284" s="156">
        <f t="shared" ca="1" si="99"/>
        <v>0</v>
      </c>
      <c r="CA284" s="156">
        <f t="shared" ca="1" si="100"/>
        <v>0</v>
      </c>
      <c r="CB284" s="156"/>
      <c r="CC284" s="156">
        <f ca="1">(AE284=5)*('  B  '!F$113-(AY284*'  B  '!F$114))*G284*CF$260</f>
        <v>0</v>
      </c>
      <c r="CD284" s="156">
        <f ca="1">((BE284&gt;0)*'  B  '!F$105-(BE284&gt;N_Wartefrist_Unfall)*'  B  '!F$106)*(G284*CF$260)</f>
        <v>0</v>
      </c>
      <c r="CE284" s="156">
        <f ca="1">OR(AE284&lt;5,AE284&gt;6)*G284*OFFSET(Vorgabewerte!C$56,AE284,0,1,1)*CF$260</f>
        <v>0</v>
      </c>
      <c r="CF284" s="156">
        <f t="shared" ca="1" si="101"/>
        <v>0</v>
      </c>
      <c r="CH284" s="270">
        <f ca="1">(AY284=1)*'  B  '!F$114*G284*(N_BruttoStundenSatz_Monatslohn+CF$260)</f>
        <v>0</v>
      </c>
      <c r="CI284" s="270">
        <f ca="1">(BE284&gt;N_Wartefrist_Unfall)*'  B  '!F$106*G284*(N_BruttoStundenSatz_Monatslohn+CF$260)</f>
        <v>0</v>
      </c>
      <c r="CJ284" s="270">
        <f ca="1">IF(VLOOKUP('  B  '!C$65,A_JaNein_Auswahl,2,0)=1,(CH284+CI284)/12,0)</f>
        <v>0</v>
      </c>
      <c r="CK284" s="284">
        <f t="shared" ca="1" si="102"/>
        <v>0</v>
      </c>
      <c r="CL284" s="270">
        <f t="shared" ca="1" si="103"/>
        <v>0</v>
      </c>
      <c r="CM284" s="265">
        <f t="shared" ca="1" si="104"/>
        <v>0</v>
      </c>
      <c r="CO284" s="222"/>
      <c r="CP284" s="137">
        <v>0</v>
      </c>
      <c r="CQ284" s="137">
        <v>0</v>
      </c>
      <c r="CR284" s="137">
        <v>0</v>
      </c>
      <c r="CS284" s="137">
        <f t="shared" ca="1" si="105"/>
        <v>0</v>
      </c>
      <c r="CT284" s="137">
        <f t="shared" ca="1" si="106"/>
        <v>0</v>
      </c>
      <c r="CU284" s="137">
        <f t="shared" ca="1" si="107"/>
        <v>0</v>
      </c>
      <c r="CV284" s="137">
        <v>0</v>
      </c>
      <c r="CW284" s="137">
        <f t="shared" ca="1" si="108"/>
        <v>0</v>
      </c>
      <c r="CX284" s="137">
        <v>0</v>
      </c>
      <c r="CY284" s="224">
        <f t="shared" ca="1" si="109"/>
        <v>0</v>
      </c>
      <c r="DA284" s="260">
        <f ca="1">(AE284=4)*I284*OFFSET(Vorgabewerte!D$56,AE284,0,1,1)*DB$259</f>
        <v>0</v>
      </c>
      <c r="DB284" s="379">
        <f ca="1">(AE284=5)*IF('  B  '!F$110=1,IF(NOT(AY284=1),I284*'  B  '!F$113*MIN(DB$259,DB$260),I284*MAX(0,OFFSET(Vorgabewerte!D$56,AE284,0,1,1)-'  B  '!F$114)*MIN(DB$259,DB$260)),I284*OFFSET(Vorgabewerte!D$56,AE284,0,1,1)*MIN(DB$259,DB$260))</f>
        <v>0</v>
      </c>
      <c r="DC284" s="379">
        <f ca="1">(AE284=6)*IF(NOT(BE284&gt;N_Wartefrist_Unfall),I284*'  B  '!F$105*MIN(DB$259,DB$260),I284*MAX(0,OFFSET(Vorgabewerte!D$56,AE284,0,1,1)-'  B  '!F$106)*MIN(DB$259,DB$260))</f>
        <v>0</v>
      </c>
      <c r="DD284" s="255">
        <f ca="1">NOT(OR(AE284=4,AE284=5,AE284=6))*I284*OFFSET(Vorgabewerte!D$56,AE284,0,1,1)*MIN(DB$259,DB$260)</f>
        <v>0</v>
      </c>
      <c r="DE284" s="278">
        <f t="shared" ca="1" si="110"/>
        <v>0</v>
      </c>
      <c r="DF284" s="279">
        <f t="shared" ca="1" si="111"/>
        <v>0</v>
      </c>
      <c r="DG284" s="280">
        <f t="shared" ca="1" si="112"/>
        <v>0</v>
      </c>
      <c r="DI284" s="260">
        <f ca="1">(AE284=4)*I284*OFFSET(Vorgabewerte!D$56,AE284,0,1,1)*DJ$260</f>
        <v>0</v>
      </c>
      <c r="DJ284" s="379">
        <f ca="1">(AE284=5)*IF('  B  '!F$110=1,IF(NOT(AY284=1),I284*'  B  '!F$113*DJ$260,I284*MAX(0,OFFSET(Vorgabewerte!D$56,AE284,0,1,1)-'  B  '!F$114)*DJ$260),I284*OFFSET(Vorgabewerte!D$56,AE284,0,1,1)*DJ$260)</f>
        <v>0</v>
      </c>
      <c r="DK284" s="379">
        <f ca="1">(AE284=6)*IF(NOT(BE284&gt;N_Wartefrist_Unfall),I284*'  B  '!F$105*DJ$260,I284*MAX(0,OFFSET(Vorgabewerte!D$56,AE284,0,1,1)-'  B  '!F$106)*DJ$260)</f>
        <v>0</v>
      </c>
      <c r="DL284" s="255">
        <f ca="1">NOT(OR(AM284=4,AM284=5,AM284=6))*Q284*OFFSET(Vorgabewerte!L$56,AM284,0,1,1)*DJ$260</f>
        <v>0</v>
      </c>
      <c r="DM284" s="674">
        <f t="shared" ca="1" si="115"/>
        <v>0</v>
      </c>
      <c r="DN284" s="279">
        <f t="shared" ca="1" si="116"/>
        <v>0</v>
      </c>
      <c r="DO284" s="279">
        <f t="shared" ca="1" si="117"/>
        <v>0</v>
      </c>
    </row>
    <row r="285" spans="1:119" x14ac:dyDescent="0.25">
      <c r="A285" s="153">
        <f t="shared" si="113"/>
        <v>45495</v>
      </c>
      <c r="B285" s="154"/>
      <c r="C285" s="154"/>
      <c r="D285" s="154"/>
      <c r="E285" s="875" t="str">
        <f t="shared" ca="1" si="57"/>
        <v/>
      </c>
      <c r="F285" s="876"/>
      <c r="G285" s="667">
        <f t="shared" ca="1" si="114"/>
        <v>0</v>
      </c>
      <c r="H285" s="667">
        <f t="shared" ca="1" si="58"/>
        <v>0</v>
      </c>
      <c r="I285" s="667">
        <f t="shared" ca="1" si="59"/>
        <v>0</v>
      </c>
      <c r="P285" s="151">
        <f t="shared" si="60"/>
        <v>125</v>
      </c>
      <c r="R285" s="55">
        <f t="shared" si="61"/>
        <v>0</v>
      </c>
      <c r="S285" s="55">
        <f t="shared" si="62"/>
        <v>1</v>
      </c>
      <c r="U285" s="226">
        <f t="shared" si="63"/>
        <v>0</v>
      </c>
      <c r="V285" s="137">
        <f t="shared" ca="1" si="64"/>
        <v>0</v>
      </c>
      <c r="W285" s="137">
        <f t="shared" si="65"/>
        <v>0</v>
      </c>
      <c r="X285" s="137">
        <f t="shared" si="66"/>
        <v>0</v>
      </c>
      <c r="Y285" s="137">
        <f t="shared" ca="1" si="67"/>
        <v>0</v>
      </c>
      <c r="Z285" s="137">
        <f t="shared" ca="1" si="68"/>
        <v>0</v>
      </c>
      <c r="AA285" s="137">
        <f t="shared" ca="1" si="69"/>
        <v>0</v>
      </c>
      <c r="AB285" s="137">
        <f t="shared" ca="1" si="70"/>
        <v>0</v>
      </c>
      <c r="AC285" s="137">
        <f t="shared" ca="1" si="71"/>
        <v>0</v>
      </c>
      <c r="AD285" s="137">
        <f t="shared" ca="1" si="72"/>
        <v>0</v>
      </c>
      <c r="AE285" s="223">
        <f t="shared" ca="1" si="73"/>
        <v>0</v>
      </c>
      <c r="AF285" s="229" t="str">
        <f t="shared" ca="1" si="74"/>
        <v/>
      </c>
      <c r="AH285" s="235">
        <f t="shared" si="75"/>
        <v>45495</v>
      </c>
      <c r="AI285" s="137">
        <f t="shared" ca="1" si="76"/>
        <v>0</v>
      </c>
      <c r="AJ285" s="137">
        <f t="shared" si="77"/>
        <v>0</v>
      </c>
      <c r="AK285" s="137">
        <f t="shared" ca="1" si="78"/>
        <v>0</v>
      </c>
      <c r="AL285" s="137">
        <f t="shared" ca="1" si="79"/>
        <v>0</v>
      </c>
      <c r="AM285" s="137">
        <f t="shared" si="80"/>
        <v>0</v>
      </c>
      <c r="AN285" s="137">
        <f t="shared" ca="1" si="81"/>
        <v>0</v>
      </c>
      <c r="AO285" s="137">
        <f t="shared" ca="1" si="82"/>
        <v>0</v>
      </c>
      <c r="AP285" s="137">
        <f t="shared" ca="1" si="83"/>
        <v>0</v>
      </c>
      <c r="AQ285" s="137">
        <f t="shared" si="84"/>
        <v>0</v>
      </c>
      <c r="AR285" s="236">
        <f t="shared" ca="1" si="85"/>
        <v>0</v>
      </c>
      <c r="AT285" s="241">
        <f t="shared" ca="1" si="86"/>
        <v>28</v>
      </c>
      <c r="AV285" s="222">
        <f t="shared" ca="1" si="87"/>
        <v>0</v>
      </c>
      <c r="AW285" s="247">
        <f t="shared" si="88"/>
        <v>91</v>
      </c>
      <c r="AY285" s="239">
        <f ca="1">(AE285=5)*('  B  '!F$110=1)*OR(AND(AND(A285&gt;=S$220,A285&gt;=I$214),AND(A285&lt;=S$221,A285&lt;=I$215)),AND(AND(A285&gt;=S$230,A285&gt;=I$224),AND(A285&lt;=S$231,A285&lt;=I$225)),AND(AND(A285&gt;=S$240,A285&gt;=I$234),AND(A285&lt;=S$241,A285&lt;=I$235)))</f>
        <v>0</v>
      </c>
      <c r="BA285" s="222">
        <f t="shared" ca="1" si="89"/>
        <v>0</v>
      </c>
      <c r="BB285" s="55">
        <f t="shared" ca="1" si="90"/>
        <v>0</v>
      </c>
      <c r="BC285" s="247">
        <f t="shared" si="91"/>
        <v>184</v>
      </c>
      <c r="BE285" s="239">
        <f t="shared" ca="1" si="92"/>
        <v>0</v>
      </c>
      <c r="BG285" s="239">
        <f t="shared" ca="1" si="93"/>
        <v>0</v>
      </c>
      <c r="BI285" s="222"/>
      <c r="BJ285" s="137">
        <v>0</v>
      </c>
      <c r="BK285" s="137">
        <v>0</v>
      </c>
      <c r="BL285" s="137">
        <f t="shared" ca="1" si="94"/>
        <v>1</v>
      </c>
      <c r="BM285" s="137">
        <f t="shared" ca="1" si="95"/>
        <v>1</v>
      </c>
      <c r="BN285" s="137">
        <f ca="1">(A285&gt;=N_LFP_Startdatum)*IF('  B  '!F$110=1,NOT(OR(A285&gt;S$221,A285&gt;S$231,A285&gt;S$241)),IF(BB285&gt;BC285,0,1))</f>
        <v>1</v>
      </c>
      <c r="BO285" s="137">
        <f t="shared" ca="1" si="96"/>
        <v>1</v>
      </c>
      <c r="BP285" s="137">
        <v>0</v>
      </c>
      <c r="BQ285" s="137">
        <f t="shared" ca="1" si="97"/>
        <v>1</v>
      </c>
      <c r="BR285" s="653">
        <v>0</v>
      </c>
      <c r="BS285" s="224">
        <f ca="1">(A285&gt;=N_LFP_Startdatum)*IF('  B  '!F$110=1,NOT(OR(A285&gt;S$221,A285&gt;S$231,A285&gt;S$241)),IF(BB285&gt;BC285,0,1))</f>
        <v>1</v>
      </c>
      <c r="BU285" s="562">
        <f t="shared" ca="1" si="98"/>
        <v>0</v>
      </c>
      <c r="BV285" s="156">
        <f ca="1">(R285=0)*MAX(0,(B285+C285+IF(ISERROR(N_NachtStufe),0,D285*OFFSET(Vorgabewerte!E$10:E$14,N_NachtStufe,0,1,1)))-(1-BU285)*N_ArbeitsstundenSollProKT)</f>
        <v>0</v>
      </c>
      <c r="BW285" s="156"/>
      <c r="BX285" s="156">
        <f ca="1">(AE285=5)*('  B  '!F$110=1)*(1-'  B  '!F$113+(AY285*'  B  '!F$114))*(G285*IF(N_ArbeitsstundenSollProKT&gt;0,N_Monatslohn/(P$2*N_ArbeitsstundenSollProKT),0))</f>
        <v>0</v>
      </c>
      <c r="BY285" s="156">
        <f ca="1">((BE285&gt;0)*(1-'  B  '!F$105)+(BE285&gt;'  B  '!F$104)*'  B  '!F$106)*(G285*IF(N_ArbeitsstundenSollProKT&gt;0,N_Monatslohn/(P$2*N_ArbeitsstundenSollProKT),0))</f>
        <v>0</v>
      </c>
      <c r="BZ285" s="156">
        <f t="shared" ca="1" si="99"/>
        <v>0</v>
      </c>
      <c r="CA285" s="156">
        <f t="shared" ca="1" si="100"/>
        <v>0</v>
      </c>
      <c r="CB285" s="156"/>
      <c r="CC285" s="156">
        <f ca="1">(AE285=5)*('  B  '!F$113-(AY285*'  B  '!F$114))*G285*CF$260</f>
        <v>0</v>
      </c>
      <c r="CD285" s="156">
        <f ca="1">((BE285&gt;0)*'  B  '!F$105-(BE285&gt;N_Wartefrist_Unfall)*'  B  '!F$106)*(G285*CF$260)</f>
        <v>0</v>
      </c>
      <c r="CE285" s="156">
        <f ca="1">OR(AE285&lt;5,AE285&gt;6)*G285*OFFSET(Vorgabewerte!C$56,AE285,0,1,1)*CF$260</f>
        <v>0</v>
      </c>
      <c r="CF285" s="156">
        <f t="shared" ca="1" si="101"/>
        <v>0</v>
      </c>
      <c r="CH285" s="270">
        <f ca="1">(AY285=1)*'  B  '!F$114*G285*(N_BruttoStundenSatz_Monatslohn+CF$260)</f>
        <v>0</v>
      </c>
      <c r="CI285" s="270">
        <f ca="1">(BE285&gt;N_Wartefrist_Unfall)*'  B  '!F$106*G285*(N_BruttoStundenSatz_Monatslohn+CF$260)</f>
        <v>0</v>
      </c>
      <c r="CJ285" s="270">
        <f ca="1">IF(VLOOKUP('  B  '!C$65,A_JaNein_Auswahl,2,0)=1,(CH285+CI285)/12,0)</f>
        <v>0</v>
      </c>
      <c r="CK285" s="284">
        <f t="shared" ca="1" si="102"/>
        <v>0</v>
      </c>
      <c r="CL285" s="270">
        <f t="shared" ca="1" si="103"/>
        <v>0</v>
      </c>
      <c r="CM285" s="265">
        <f t="shared" ca="1" si="104"/>
        <v>0</v>
      </c>
      <c r="CO285" s="222"/>
      <c r="CP285" s="137">
        <v>0</v>
      </c>
      <c r="CQ285" s="137">
        <v>0</v>
      </c>
      <c r="CR285" s="137">
        <v>0</v>
      </c>
      <c r="CS285" s="137">
        <f t="shared" ca="1" si="105"/>
        <v>0</v>
      </c>
      <c r="CT285" s="137">
        <f t="shared" ca="1" si="106"/>
        <v>0</v>
      </c>
      <c r="CU285" s="137">
        <f t="shared" ca="1" si="107"/>
        <v>0</v>
      </c>
      <c r="CV285" s="137">
        <v>0</v>
      </c>
      <c r="CW285" s="137">
        <f t="shared" ca="1" si="108"/>
        <v>0</v>
      </c>
      <c r="CX285" s="137">
        <v>0</v>
      </c>
      <c r="CY285" s="224">
        <f t="shared" ca="1" si="109"/>
        <v>0</v>
      </c>
      <c r="DA285" s="260">
        <f ca="1">(AE285=4)*I285*OFFSET(Vorgabewerte!D$56,AE285,0,1,1)*DB$259</f>
        <v>0</v>
      </c>
      <c r="DB285" s="379">
        <f ca="1">(AE285=5)*IF('  B  '!F$110=1,IF(NOT(AY285=1),I285*'  B  '!F$113*MIN(DB$259,DB$260),I285*MAX(0,OFFSET(Vorgabewerte!D$56,AE285,0,1,1)-'  B  '!F$114)*MIN(DB$259,DB$260)),I285*OFFSET(Vorgabewerte!D$56,AE285,0,1,1)*MIN(DB$259,DB$260))</f>
        <v>0</v>
      </c>
      <c r="DC285" s="379">
        <f ca="1">(AE285=6)*IF(NOT(BE285&gt;N_Wartefrist_Unfall),I285*'  B  '!F$105*MIN(DB$259,DB$260),I285*MAX(0,OFFSET(Vorgabewerte!D$56,AE285,0,1,1)-'  B  '!F$106)*MIN(DB$259,DB$260))</f>
        <v>0</v>
      </c>
      <c r="DD285" s="255">
        <f ca="1">NOT(OR(AE285=4,AE285=5,AE285=6))*I285*OFFSET(Vorgabewerte!D$56,AE285,0,1,1)*MIN(DB$259,DB$260)</f>
        <v>0</v>
      </c>
      <c r="DE285" s="278">
        <f t="shared" ca="1" si="110"/>
        <v>0</v>
      </c>
      <c r="DF285" s="279">
        <f t="shared" ca="1" si="111"/>
        <v>0</v>
      </c>
      <c r="DG285" s="280">
        <f t="shared" ca="1" si="112"/>
        <v>0</v>
      </c>
      <c r="DI285" s="260">
        <f ca="1">(AE285=4)*I285*OFFSET(Vorgabewerte!D$56,AE285,0,1,1)*DJ$260</f>
        <v>0</v>
      </c>
      <c r="DJ285" s="379">
        <f ca="1">(AE285=5)*IF('  B  '!F$110=1,IF(NOT(AY285=1),I285*'  B  '!F$113*DJ$260,I285*MAX(0,OFFSET(Vorgabewerte!D$56,AE285,0,1,1)-'  B  '!F$114)*DJ$260),I285*OFFSET(Vorgabewerte!D$56,AE285,0,1,1)*DJ$260)</f>
        <v>0</v>
      </c>
      <c r="DK285" s="379">
        <f ca="1">(AE285=6)*IF(NOT(BE285&gt;N_Wartefrist_Unfall),I285*'  B  '!F$105*DJ$260,I285*MAX(0,OFFSET(Vorgabewerte!D$56,AE285,0,1,1)-'  B  '!F$106)*DJ$260)</f>
        <v>0</v>
      </c>
      <c r="DL285" s="255">
        <f ca="1">NOT(OR(AM285=4,AM285=5,AM285=6))*Q285*OFFSET(Vorgabewerte!L$56,AM285,0,1,1)*DJ$260</f>
        <v>0</v>
      </c>
      <c r="DM285" s="674">
        <f t="shared" ca="1" si="115"/>
        <v>0</v>
      </c>
      <c r="DN285" s="279">
        <f t="shared" ca="1" si="116"/>
        <v>0</v>
      </c>
      <c r="DO285" s="279">
        <f t="shared" ca="1" si="117"/>
        <v>0</v>
      </c>
    </row>
    <row r="286" spans="1:119" x14ac:dyDescent="0.25">
      <c r="A286" s="153">
        <f t="shared" si="113"/>
        <v>45496</v>
      </c>
      <c r="B286" s="154"/>
      <c r="C286" s="154"/>
      <c r="D286" s="154"/>
      <c r="E286" s="875" t="str">
        <f t="shared" ca="1" si="57"/>
        <v/>
      </c>
      <c r="F286" s="876"/>
      <c r="G286" s="667">
        <f t="shared" ca="1" si="114"/>
        <v>0</v>
      </c>
      <c r="H286" s="667">
        <f t="shared" ca="1" si="58"/>
        <v>0</v>
      </c>
      <c r="I286" s="667">
        <f t="shared" ca="1" si="59"/>
        <v>0</v>
      </c>
      <c r="P286" s="151">
        <f t="shared" si="60"/>
        <v>125</v>
      </c>
      <c r="R286" s="55">
        <f t="shared" si="61"/>
        <v>0</v>
      </c>
      <c r="S286" s="55">
        <f t="shared" si="62"/>
        <v>1</v>
      </c>
      <c r="U286" s="226">
        <f t="shared" si="63"/>
        <v>0</v>
      </c>
      <c r="V286" s="137">
        <f t="shared" ca="1" si="64"/>
        <v>0</v>
      </c>
      <c r="W286" s="137">
        <f t="shared" si="65"/>
        <v>0</v>
      </c>
      <c r="X286" s="137">
        <f t="shared" si="66"/>
        <v>0</v>
      </c>
      <c r="Y286" s="137">
        <f t="shared" ca="1" si="67"/>
        <v>0</v>
      </c>
      <c r="Z286" s="137">
        <f t="shared" ca="1" si="68"/>
        <v>0</v>
      </c>
      <c r="AA286" s="137">
        <f t="shared" ca="1" si="69"/>
        <v>0</v>
      </c>
      <c r="AB286" s="137">
        <f t="shared" ca="1" si="70"/>
        <v>0</v>
      </c>
      <c r="AC286" s="137">
        <f t="shared" ca="1" si="71"/>
        <v>0</v>
      </c>
      <c r="AD286" s="137">
        <f t="shared" ca="1" si="72"/>
        <v>0</v>
      </c>
      <c r="AE286" s="223">
        <f t="shared" ca="1" si="73"/>
        <v>0</v>
      </c>
      <c r="AF286" s="229" t="str">
        <f t="shared" ca="1" si="74"/>
        <v/>
      </c>
      <c r="AH286" s="235">
        <f t="shared" si="75"/>
        <v>45496</v>
      </c>
      <c r="AI286" s="137">
        <f t="shared" ca="1" si="76"/>
        <v>0</v>
      </c>
      <c r="AJ286" s="137">
        <f t="shared" si="77"/>
        <v>0</v>
      </c>
      <c r="AK286" s="137">
        <f t="shared" ca="1" si="78"/>
        <v>0</v>
      </c>
      <c r="AL286" s="137">
        <f t="shared" ca="1" si="79"/>
        <v>0</v>
      </c>
      <c r="AM286" s="137">
        <f t="shared" si="80"/>
        <v>0</v>
      </c>
      <c r="AN286" s="137">
        <f t="shared" ca="1" si="81"/>
        <v>0</v>
      </c>
      <c r="AO286" s="137">
        <f t="shared" ca="1" si="82"/>
        <v>0</v>
      </c>
      <c r="AP286" s="137">
        <f t="shared" ca="1" si="83"/>
        <v>0</v>
      </c>
      <c r="AQ286" s="137">
        <f t="shared" si="84"/>
        <v>0</v>
      </c>
      <c r="AR286" s="236">
        <f t="shared" ca="1" si="85"/>
        <v>0</v>
      </c>
      <c r="AT286" s="241">
        <f t="shared" ca="1" si="86"/>
        <v>28</v>
      </c>
      <c r="AV286" s="222">
        <f t="shared" ca="1" si="87"/>
        <v>0</v>
      </c>
      <c r="AW286" s="247">
        <f t="shared" si="88"/>
        <v>91</v>
      </c>
      <c r="AY286" s="239">
        <f ca="1">(AE286=5)*('  B  '!F$110=1)*OR(AND(AND(A286&gt;=S$220,A286&gt;=I$214),AND(A286&lt;=S$221,A286&lt;=I$215)),AND(AND(A286&gt;=S$230,A286&gt;=I$224),AND(A286&lt;=S$231,A286&lt;=I$225)),AND(AND(A286&gt;=S$240,A286&gt;=I$234),AND(A286&lt;=S$241,A286&lt;=I$235)))</f>
        <v>0</v>
      </c>
      <c r="BA286" s="222">
        <f t="shared" ca="1" si="89"/>
        <v>0</v>
      </c>
      <c r="BB286" s="55">
        <f t="shared" ca="1" si="90"/>
        <v>0</v>
      </c>
      <c r="BC286" s="247">
        <f t="shared" si="91"/>
        <v>184</v>
      </c>
      <c r="BE286" s="239">
        <f t="shared" ca="1" si="92"/>
        <v>0</v>
      </c>
      <c r="BG286" s="239">
        <f t="shared" ca="1" si="93"/>
        <v>0</v>
      </c>
      <c r="BI286" s="222"/>
      <c r="BJ286" s="137">
        <v>0</v>
      </c>
      <c r="BK286" s="137">
        <v>0</v>
      </c>
      <c r="BL286" s="137">
        <f t="shared" ca="1" si="94"/>
        <v>1</v>
      </c>
      <c r="BM286" s="137">
        <f t="shared" ca="1" si="95"/>
        <v>1</v>
      </c>
      <c r="BN286" s="137">
        <f ca="1">(A286&gt;=N_LFP_Startdatum)*IF('  B  '!F$110=1,NOT(OR(A286&gt;S$221,A286&gt;S$231,A286&gt;S$241)),IF(BB286&gt;BC286,0,1))</f>
        <v>1</v>
      </c>
      <c r="BO286" s="137">
        <f t="shared" ca="1" si="96"/>
        <v>1</v>
      </c>
      <c r="BP286" s="137">
        <v>0</v>
      </c>
      <c r="BQ286" s="137">
        <f t="shared" ca="1" si="97"/>
        <v>1</v>
      </c>
      <c r="BR286" s="653">
        <v>0</v>
      </c>
      <c r="BS286" s="224">
        <f ca="1">(A286&gt;=N_LFP_Startdatum)*IF('  B  '!F$110=1,NOT(OR(A286&gt;S$221,A286&gt;S$231,A286&gt;S$241)),IF(BB286&gt;BC286,0,1))</f>
        <v>1</v>
      </c>
      <c r="BU286" s="562">
        <f t="shared" ca="1" si="98"/>
        <v>0</v>
      </c>
      <c r="BV286" s="156">
        <f ca="1">(R286=0)*MAX(0,(B286+C286+IF(ISERROR(N_NachtStufe),0,D286*OFFSET(Vorgabewerte!E$10:E$14,N_NachtStufe,0,1,1)))-(1-BU286)*N_ArbeitsstundenSollProKT)</f>
        <v>0</v>
      </c>
      <c r="BW286" s="156"/>
      <c r="BX286" s="156">
        <f ca="1">(AE286=5)*('  B  '!F$110=1)*(1-'  B  '!F$113+(AY286*'  B  '!F$114))*(G286*IF(N_ArbeitsstundenSollProKT&gt;0,N_Monatslohn/(P$2*N_ArbeitsstundenSollProKT),0))</f>
        <v>0</v>
      </c>
      <c r="BY286" s="156">
        <f ca="1">((BE286&gt;0)*(1-'  B  '!F$105)+(BE286&gt;'  B  '!F$104)*'  B  '!F$106)*(G286*IF(N_ArbeitsstundenSollProKT&gt;0,N_Monatslohn/(P$2*N_ArbeitsstundenSollProKT),0))</f>
        <v>0</v>
      </c>
      <c r="BZ286" s="156">
        <f t="shared" ca="1" si="99"/>
        <v>0</v>
      </c>
      <c r="CA286" s="156">
        <f t="shared" ca="1" si="100"/>
        <v>0</v>
      </c>
      <c r="CB286" s="156"/>
      <c r="CC286" s="156">
        <f ca="1">(AE286=5)*('  B  '!F$113-(AY286*'  B  '!F$114))*G286*CF$260</f>
        <v>0</v>
      </c>
      <c r="CD286" s="156">
        <f ca="1">((BE286&gt;0)*'  B  '!F$105-(BE286&gt;N_Wartefrist_Unfall)*'  B  '!F$106)*(G286*CF$260)</f>
        <v>0</v>
      </c>
      <c r="CE286" s="156">
        <f ca="1">OR(AE286&lt;5,AE286&gt;6)*G286*OFFSET(Vorgabewerte!C$56,AE286,0,1,1)*CF$260</f>
        <v>0</v>
      </c>
      <c r="CF286" s="156">
        <f t="shared" ca="1" si="101"/>
        <v>0</v>
      </c>
      <c r="CH286" s="270">
        <f ca="1">(AY286=1)*'  B  '!F$114*G286*(N_BruttoStundenSatz_Monatslohn+CF$260)</f>
        <v>0</v>
      </c>
      <c r="CI286" s="270">
        <f ca="1">(BE286&gt;N_Wartefrist_Unfall)*'  B  '!F$106*G286*(N_BruttoStundenSatz_Monatslohn+CF$260)</f>
        <v>0</v>
      </c>
      <c r="CJ286" s="270">
        <f ca="1">IF(VLOOKUP('  B  '!C$65,A_JaNein_Auswahl,2,0)=1,(CH286+CI286)/12,0)</f>
        <v>0</v>
      </c>
      <c r="CK286" s="284">
        <f t="shared" ca="1" si="102"/>
        <v>0</v>
      </c>
      <c r="CL286" s="270">
        <f t="shared" ca="1" si="103"/>
        <v>0</v>
      </c>
      <c r="CM286" s="265">
        <f t="shared" ca="1" si="104"/>
        <v>0</v>
      </c>
      <c r="CO286" s="222"/>
      <c r="CP286" s="137">
        <v>0</v>
      </c>
      <c r="CQ286" s="137">
        <v>0</v>
      </c>
      <c r="CR286" s="137">
        <v>0</v>
      </c>
      <c r="CS286" s="137">
        <f t="shared" ca="1" si="105"/>
        <v>0</v>
      </c>
      <c r="CT286" s="137">
        <f t="shared" ca="1" si="106"/>
        <v>0</v>
      </c>
      <c r="CU286" s="137">
        <f t="shared" ca="1" si="107"/>
        <v>0</v>
      </c>
      <c r="CV286" s="137">
        <v>0</v>
      </c>
      <c r="CW286" s="137">
        <f t="shared" ca="1" si="108"/>
        <v>0</v>
      </c>
      <c r="CX286" s="137">
        <v>0</v>
      </c>
      <c r="CY286" s="224">
        <f t="shared" ca="1" si="109"/>
        <v>0</v>
      </c>
      <c r="DA286" s="260">
        <f ca="1">(AE286=4)*I286*OFFSET(Vorgabewerte!D$56,AE286,0,1,1)*DB$259</f>
        <v>0</v>
      </c>
      <c r="DB286" s="379">
        <f ca="1">(AE286=5)*IF('  B  '!F$110=1,IF(NOT(AY286=1),I286*'  B  '!F$113*MIN(DB$259,DB$260),I286*MAX(0,OFFSET(Vorgabewerte!D$56,AE286,0,1,1)-'  B  '!F$114)*MIN(DB$259,DB$260)),I286*OFFSET(Vorgabewerte!D$56,AE286,0,1,1)*MIN(DB$259,DB$260))</f>
        <v>0</v>
      </c>
      <c r="DC286" s="379">
        <f ca="1">(AE286=6)*IF(NOT(BE286&gt;N_Wartefrist_Unfall),I286*'  B  '!F$105*MIN(DB$259,DB$260),I286*MAX(0,OFFSET(Vorgabewerte!D$56,AE286,0,1,1)-'  B  '!F$106)*MIN(DB$259,DB$260))</f>
        <v>0</v>
      </c>
      <c r="DD286" s="255">
        <f ca="1">NOT(OR(AE286=4,AE286=5,AE286=6))*I286*OFFSET(Vorgabewerte!D$56,AE286,0,1,1)*MIN(DB$259,DB$260)</f>
        <v>0</v>
      </c>
      <c r="DE286" s="278">
        <f t="shared" ca="1" si="110"/>
        <v>0</v>
      </c>
      <c r="DF286" s="279">
        <f t="shared" ca="1" si="111"/>
        <v>0</v>
      </c>
      <c r="DG286" s="280">
        <f t="shared" ca="1" si="112"/>
        <v>0</v>
      </c>
      <c r="DI286" s="260">
        <f ca="1">(AE286=4)*I286*OFFSET(Vorgabewerte!D$56,AE286,0,1,1)*DJ$260</f>
        <v>0</v>
      </c>
      <c r="DJ286" s="379">
        <f ca="1">(AE286=5)*IF('  B  '!F$110=1,IF(NOT(AY286=1),I286*'  B  '!F$113*DJ$260,I286*MAX(0,OFFSET(Vorgabewerte!D$56,AE286,0,1,1)-'  B  '!F$114)*DJ$260),I286*OFFSET(Vorgabewerte!D$56,AE286,0,1,1)*DJ$260)</f>
        <v>0</v>
      </c>
      <c r="DK286" s="379">
        <f ca="1">(AE286=6)*IF(NOT(BE286&gt;N_Wartefrist_Unfall),I286*'  B  '!F$105*DJ$260,I286*MAX(0,OFFSET(Vorgabewerte!D$56,AE286,0,1,1)-'  B  '!F$106)*DJ$260)</f>
        <v>0</v>
      </c>
      <c r="DL286" s="255">
        <f ca="1">NOT(OR(AM286=4,AM286=5,AM286=6))*Q286*OFFSET(Vorgabewerte!L$56,AM286,0,1,1)*DJ$260</f>
        <v>0</v>
      </c>
      <c r="DM286" s="674">
        <f t="shared" ca="1" si="115"/>
        <v>0</v>
      </c>
      <c r="DN286" s="279">
        <f t="shared" ca="1" si="116"/>
        <v>0</v>
      </c>
      <c r="DO286" s="279">
        <f t="shared" ca="1" si="117"/>
        <v>0</v>
      </c>
    </row>
    <row r="287" spans="1:119" x14ac:dyDescent="0.25">
      <c r="A287" s="153">
        <f t="shared" si="113"/>
        <v>45497</v>
      </c>
      <c r="B287" s="154"/>
      <c r="C287" s="154"/>
      <c r="D287" s="154"/>
      <c r="E287" s="875" t="str">
        <f t="shared" ca="1" si="57"/>
        <v/>
      </c>
      <c r="F287" s="876"/>
      <c r="G287" s="667">
        <f t="shared" ca="1" si="114"/>
        <v>0</v>
      </c>
      <c r="H287" s="667">
        <f t="shared" ca="1" si="58"/>
        <v>0</v>
      </c>
      <c r="I287" s="667">
        <f t="shared" ca="1" si="59"/>
        <v>0</v>
      </c>
      <c r="P287" s="151">
        <f t="shared" si="60"/>
        <v>125</v>
      </c>
      <c r="R287" s="55">
        <f t="shared" si="61"/>
        <v>0</v>
      </c>
      <c r="S287" s="55">
        <f t="shared" si="62"/>
        <v>1</v>
      </c>
      <c r="U287" s="226">
        <f t="shared" si="63"/>
        <v>0</v>
      </c>
      <c r="V287" s="137">
        <f t="shared" ca="1" si="64"/>
        <v>0</v>
      </c>
      <c r="W287" s="137">
        <f t="shared" si="65"/>
        <v>0</v>
      </c>
      <c r="X287" s="137">
        <f t="shared" si="66"/>
        <v>0</v>
      </c>
      <c r="Y287" s="137">
        <f t="shared" ca="1" si="67"/>
        <v>0</v>
      </c>
      <c r="Z287" s="137">
        <f t="shared" ca="1" si="68"/>
        <v>0</v>
      </c>
      <c r="AA287" s="137">
        <f t="shared" ca="1" si="69"/>
        <v>0</v>
      </c>
      <c r="AB287" s="137">
        <f t="shared" ca="1" si="70"/>
        <v>0</v>
      </c>
      <c r="AC287" s="137">
        <f t="shared" ca="1" si="71"/>
        <v>0</v>
      </c>
      <c r="AD287" s="137">
        <f t="shared" ca="1" si="72"/>
        <v>0</v>
      </c>
      <c r="AE287" s="223">
        <f t="shared" ca="1" si="73"/>
        <v>0</v>
      </c>
      <c r="AF287" s="229" t="str">
        <f t="shared" ca="1" si="74"/>
        <v/>
      </c>
      <c r="AH287" s="235">
        <f t="shared" si="75"/>
        <v>45497</v>
      </c>
      <c r="AI287" s="137">
        <f t="shared" ca="1" si="76"/>
        <v>0</v>
      </c>
      <c r="AJ287" s="137">
        <f t="shared" si="77"/>
        <v>0</v>
      </c>
      <c r="AK287" s="137">
        <f t="shared" ca="1" si="78"/>
        <v>0</v>
      </c>
      <c r="AL287" s="137">
        <f t="shared" ca="1" si="79"/>
        <v>0</v>
      </c>
      <c r="AM287" s="137">
        <f t="shared" si="80"/>
        <v>0</v>
      </c>
      <c r="AN287" s="137">
        <f t="shared" ca="1" si="81"/>
        <v>0</v>
      </c>
      <c r="AO287" s="137">
        <f t="shared" ca="1" si="82"/>
        <v>0</v>
      </c>
      <c r="AP287" s="137">
        <f t="shared" ca="1" si="83"/>
        <v>0</v>
      </c>
      <c r="AQ287" s="137">
        <f t="shared" si="84"/>
        <v>0</v>
      </c>
      <c r="AR287" s="236">
        <f t="shared" ca="1" si="85"/>
        <v>0</v>
      </c>
      <c r="AT287" s="241">
        <f t="shared" ca="1" si="86"/>
        <v>28</v>
      </c>
      <c r="AV287" s="222">
        <f t="shared" ca="1" si="87"/>
        <v>0</v>
      </c>
      <c r="AW287" s="247">
        <f t="shared" si="88"/>
        <v>91</v>
      </c>
      <c r="AY287" s="239">
        <f ca="1">(AE287=5)*('  B  '!F$110=1)*OR(AND(AND(A287&gt;=S$220,A287&gt;=I$214),AND(A287&lt;=S$221,A287&lt;=I$215)),AND(AND(A287&gt;=S$230,A287&gt;=I$224),AND(A287&lt;=S$231,A287&lt;=I$225)),AND(AND(A287&gt;=S$240,A287&gt;=I$234),AND(A287&lt;=S$241,A287&lt;=I$235)))</f>
        <v>0</v>
      </c>
      <c r="BA287" s="222">
        <f t="shared" ca="1" si="89"/>
        <v>0</v>
      </c>
      <c r="BB287" s="55">
        <f t="shared" ca="1" si="90"/>
        <v>0</v>
      </c>
      <c r="BC287" s="247">
        <f t="shared" si="91"/>
        <v>184</v>
      </c>
      <c r="BE287" s="239">
        <f t="shared" ca="1" si="92"/>
        <v>0</v>
      </c>
      <c r="BG287" s="239">
        <f t="shared" ca="1" si="93"/>
        <v>0</v>
      </c>
      <c r="BI287" s="222"/>
      <c r="BJ287" s="137">
        <v>0</v>
      </c>
      <c r="BK287" s="137">
        <v>0</v>
      </c>
      <c r="BL287" s="137">
        <f t="shared" ca="1" si="94"/>
        <v>1</v>
      </c>
      <c r="BM287" s="137">
        <f t="shared" ca="1" si="95"/>
        <v>1</v>
      </c>
      <c r="BN287" s="137">
        <f ca="1">(A287&gt;=N_LFP_Startdatum)*IF('  B  '!F$110=1,NOT(OR(A287&gt;S$221,A287&gt;S$231,A287&gt;S$241)),IF(BB287&gt;BC287,0,1))</f>
        <v>1</v>
      </c>
      <c r="BO287" s="137">
        <f t="shared" ca="1" si="96"/>
        <v>1</v>
      </c>
      <c r="BP287" s="137">
        <v>0</v>
      </c>
      <c r="BQ287" s="137">
        <f t="shared" ca="1" si="97"/>
        <v>1</v>
      </c>
      <c r="BR287" s="653">
        <v>0</v>
      </c>
      <c r="BS287" s="224">
        <f ca="1">(A287&gt;=N_LFP_Startdatum)*IF('  B  '!F$110=1,NOT(OR(A287&gt;S$221,A287&gt;S$231,A287&gt;S$241)),IF(BB287&gt;BC287,0,1))</f>
        <v>1</v>
      </c>
      <c r="BU287" s="562">
        <f t="shared" ca="1" si="98"/>
        <v>0</v>
      </c>
      <c r="BV287" s="156">
        <f ca="1">(R287=0)*MAX(0,(B287+C287+IF(ISERROR(N_NachtStufe),0,D287*OFFSET(Vorgabewerte!E$10:E$14,N_NachtStufe,0,1,1)))-(1-BU287)*N_ArbeitsstundenSollProKT)</f>
        <v>0</v>
      </c>
      <c r="BW287" s="156"/>
      <c r="BX287" s="156">
        <f ca="1">(AE287=5)*('  B  '!F$110=1)*(1-'  B  '!F$113+(AY287*'  B  '!F$114))*(G287*IF(N_ArbeitsstundenSollProKT&gt;0,N_Monatslohn/(P$2*N_ArbeitsstundenSollProKT),0))</f>
        <v>0</v>
      </c>
      <c r="BY287" s="156">
        <f ca="1">((BE287&gt;0)*(1-'  B  '!F$105)+(BE287&gt;'  B  '!F$104)*'  B  '!F$106)*(G287*IF(N_ArbeitsstundenSollProKT&gt;0,N_Monatslohn/(P$2*N_ArbeitsstundenSollProKT),0))</f>
        <v>0</v>
      </c>
      <c r="BZ287" s="156">
        <f t="shared" ca="1" si="99"/>
        <v>0</v>
      </c>
      <c r="CA287" s="156">
        <f t="shared" ca="1" si="100"/>
        <v>0</v>
      </c>
      <c r="CB287" s="156"/>
      <c r="CC287" s="156">
        <f ca="1">(AE287=5)*('  B  '!F$113-(AY287*'  B  '!F$114))*G287*CF$260</f>
        <v>0</v>
      </c>
      <c r="CD287" s="156">
        <f ca="1">((BE287&gt;0)*'  B  '!F$105-(BE287&gt;N_Wartefrist_Unfall)*'  B  '!F$106)*(G287*CF$260)</f>
        <v>0</v>
      </c>
      <c r="CE287" s="156">
        <f ca="1">OR(AE287&lt;5,AE287&gt;6)*G287*OFFSET(Vorgabewerte!C$56,AE287,0,1,1)*CF$260</f>
        <v>0</v>
      </c>
      <c r="CF287" s="156">
        <f t="shared" ca="1" si="101"/>
        <v>0</v>
      </c>
      <c r="CH287" s="270">
        <f ca="1">(AY287=1)*'  B  '!F$114*G287*(N_BruttoStundenSatz_Monatslohn+CF$260)</f>
        <v>0</v>
      </c>
      <c r="CI287" s="270">
        <f ca="1">(BE287&gt;N_Wartefrist_Unfall)*'  B  '!F$106*G287*(N_BruttoStundenSatz_Monatslohn+CF$260)</f>
        <v>0</v>
      </c>
      <c r="CJ287" s="270">
        <f ca="1">IF(VLOOKUP('  B  '!C$65,A_JaNein_Auswahl,2,0)=1,(CH287+CI287)/12,0)</f>
        <v>0</v>
      </c>
      <c r="CK287" s="284">
        <f t="shared" ca="1" si="102"/>
        <v>0</v>
      </c>
      <c r="CL287" s="270">
        <f t="shared" ca="1" si="103"/>
        <v>0</v>
      </c>
      <c r="CM287" s="265">
        <f t="shared" ca="1" si="104"/>
        <v>0</v>
      </c>
      <c r="CO287" s="222"/>
      <c r="CP287" s="137">
        <v>0</v>
      </c>
      <c r="CQ287" s="137">
        <v>0</v>
      </c>
      <c r="CR287" s="137">
        <v>0</v>
      </c>
      <c r="CS287" s="137">
        <f t="shared" ca="1" si="105"/>
        <v>0</v>
      </c>
      <c r="CT287" s="137">
        <f t="shared" ca="1" si="106"/>
        <v>0</v>
      </c>
      <c r="CU287" s="137">
        <f t="shared" ca="1" si="107"/>
        <v>0</v>
      </c>
      <c r="CV287" s="137">
        <v>0</v>
      </c>
      <c r="CW287" s="137">
        <f t="shared" ca="1" si="108"/>
        <v>0</v>
      </c>
      <c r="CX287" s="137">
        <v>0</v>
      </c>
      <c r="CY287" s="224">
        <f t="shared" ca="1" si="109"/>
        <v>0</v>
      </c>
      <c r="DA287" s="260">
        <f ca="1">(AE287=4)*I287*OFFSET(Vorgabewerte!D$56,AE287,0,1,1)*DB$259</f>
        <v>0</v>
      </c>
      <c r="DB287" s="379">
        <f ca="1">(AE287=5)*IF('  B  '!F$110=1,IF(NOT(AY287=1),I287*'  B  '!F$113*MIN(DB$259,DB$260),I287*MAX(0,OFFSET(Vorgabewerte!D$56,AE287,0,1,1)-'  B  '!F$114)*MIN(DB$259,DB$260)),I287*OFFSET(Vorgabewerte!D$56,AE287,0,1,1)*MIN(DB$259,DB$260))</f>
        <v>0</v>
      </c>
      <c r="DC287" s="379">
        <f ca="1">(AE287=6)*IF(NOT(BE287&gt;N_Wartefrist_Unfall),I287*'  B  '!F$105*MIN(DB$259,DB$260),I287*MAX(0,OFFSET(Vorgabewerte!D$56,AE287,0,1,1)-'  B  '!F$106)*MIN(DB$259,DB$260))</f>
        <v>0</v>
      </c>
      <c r="DD287" s="255">
        <f ca="1">NOT(OR(AE287=4,AE287=5,AE287=6))*I287*OFFSET(Vorgabewerte!D$56,AE287,0,1,1)*MIN(DB$259,DB$260)</f>
        <v>0</v>
      </c>
      <c r="DE287" s="278">
        <f t="shared" ca="1" si="110"/>
        <v>0</v>
      </c>
      <c r="DF287" s="279">
        <f t="shared" ca="1" si="111"/>
        <v>0</v>
      </c>
      <c r="DG287" s="280">
        <f t="shared" ca="1" si="112"/>
        <v>0</v>
      </c>
      <c r="DI287" s="260">
        <f ca="1">(AE287=4)*I287*OFFSET(Vorgabewerte!D$56,AE287,0,1,1)*DJ$260</f>
        <v>0</v>
      </c>
      <c r="DJ287" s="379">
        <f ca="1">(AE287=5)*IF('  B  '!F$110=1,IF(NOT(AY287=1),I287*'  B  '!F$113*DJ$260,I287*MAX(0,OFFSET(Vorgabewerte!D$56,AE287,0,1,1)-'  B  '!F$114)*DJ$260),I287*OFFSET(Vorgabewerte!D$56,AE287,0,1,1)*DJ$260)</f>
        <v>0</v>
      </c>
      <c r="DK287" s="379">
        <f ca="1">(AE287=6)*IF(NOT(BE287&gt;N_Wartefrist_Unfall),I287*'  B  '!F$105*DJ$260,I287*MAX(0,OFFSET(Vorgabewerte!D$56,AE287,0,1,1)-'  B  '!F$106)*DJ$260)</f>
        <v>0</v>
      </c>
      <c r="DL287" s="255">
        <f ca="1">NOT(OR(AM287=4,AM287=5,AM287=6))*Q287*OFFSET(Vorgabewerte!L$56,AM287,0,1,1)*DJ$260</f>
        <v>0</v>
      </c>
      <c r="DM287" s="674">
        <f t="shared" ca="1" si="115"/>
        <v>0</v>
      </c>
      <c r="DN287" s="279">
        <f t="shared" ca="1" si="116"/>
        <v>0</v>
      </c>
      <c r="DO287" s="279">
        <f t="shared" ca="1" si="117"/>
        <v>0</v>
      </c>
    </row>
    <row r="288" spans="1:119" x14ac:dyDescent="0.25">
      <c r="A288" s="153">
        <f t="shared" si="113"/>
        <v>45498</v>
      </c>
      <c r="B288" s="154"/>
      <c r="C288" s="154"/>
      <c r="D288" s="154"/>
      <c r="E288" s="875" t="str">
        <f t="shared" ca="1" si="57"/>
        <v/>
      </c>
      <c r="F288" s="876"/>
      <c r="G288" s="667">
        <f t="shared" ca="1" si="114"/>
        <v>0</v>
      </c>
      <c r="H288" s="667">
        <f t="shared" ca="1" si="58"/>
        <v>0</v>
      </c>
      <c r="I288" s="667">
        <f t="shared" ca="1" si="59"/>
        <v>0</v>
      </c>
      <c r="P288" s="151">
        <f t="shared" si="60"/>
        <v>125</v>
      </c>
      <c r="R288" s="55">
        <f t="shared" si="61"/>
        <v>0</v>
      </c>
      <c r="S288" s="55">
        <f t="shared" si="62"/>
        <v>1</v>
      </c>
      <c r="U288" s="226">
        <f t="shared" si="63"/>
        <v>0</v>
      </c>
      <c r="V288" s="137">
        <f t="shared" ca="1" si="64"/>
        <v>0</v>
      </c>
      <c r="W288" s="137">
        <f t="shared" si="65"/>
        <v>0</v>
      </c>
      <c r="X288" s="137">
        <f t="shared" si="66"/>
        <v>0</v>
      </c>
      <c r="Y288" s="137">
        <f t="shared" ca="1" si="67"/>
        <v>0</v>
      </c>
      <c r="Z288" s="137">
        <f t="shared" ca="1" si="68"/>
        <v>0</v>
      </c>
      <c r="AA288" s="137">
        <f t="shared" ca="1" si="69"/>
        <v>0</v>
      </c>
      <c r="AB288" s="137">
        <f t="shared" ca="1" si="70"/>
        <v>0</v>
      </c>
      <c r="AC288" s="137">
        <f t="shared" ca="1" si="71"/>
        <v>0</v>
      </c>
      <c r="AD288" s="137">
        <f t="shared" ca="1" si="72"/>
        <v>0</v>
      </c>
      <c r="AE288" s="223">
        <f t="shared" ca="1" si="73"/>
        <v>0</v>
      </c>
      <c r="AF288" s="229" t="str">
        <f t="shared" ca="1" si="74"/>
        <v/>
      </c>
      <c r="AH288" s="235">
        <f t="shared" si="75"/>
        <v>45498</v>
      </c>
      <c r="AI288" s="137">
        <f t="shared" ca="1" si="76"/>
        <v>0</v>
      </c>
      <c r="AJ288" s="137">
        <f t="shared" si="77"/>
        <v>0</v>
      </c>
      <c r="AK288" s="137">
        <f t="shared" ca="1" si="78"/>
        <v>0</v>
      </c>
      <c r="AL288" s="137">
        <f t="shared" ca="1" si="79"/>
        <v>0</v>
      </c>
      <c r="AM288" s="137">
        <f t="shared" si="80"/>
        <v>0</v>
      </c>
      <c r="AN288" s="137">
        <f t="shared" ca="1" si="81"/>
        <v>0</v>
      </c>
      <c r="AO288" s="137">
        <f t="shared" ca="1" si="82"/>
        <v>0</v>
      </c>
      <c r="AP288" s="137">
        <f t="shared" ca="1" si="83"/>
        <v>0</v>
      </c>
      <c r="AQ288" s="137">
        <f t="shared" si="84"/>
        <v>0</v>
      </c>
      <c r="AR288" s="236">
        <f t="shared" ca="1" si="85"/>
        <v>0</v>
      </c>
      <c r="AT288" s="241">
        <f t="shared" ca="1" si="86"/>
        <v>28</v>
      </c>
      <c r="AV288" s="222">
        <f t="shared" ca="1" si="87"/>
        <v>0</v>
      </c>
      <c r="AW288" s="247">
        <f t="shared" si="88"/>
        <v>91</v>
      </c>
      <c r="AY288" s="239">
        <f ca="1">(AE288=5)*('  B  '!F$110=1)*OR(AND(AND(A288&gt;=S$220,A288&gt;=I$214),AND(A288&lt;=S$221,A288&lt;=I$215)),AND(AND(A288&gt;=S$230,A288&gt;=I$224),AND(A288&lt;=S$231,A288&lt;=I$225)),AND(AND(A288&gt;=S$240,A288&gt;=I$234),AND(A288&lt;=S$241,A288&lt;=I$235)))</f>
        <v>0</v>
      </c>
      <c r="BA288" s="222">
        <f t="shared" ca="1" si="89"/>
        <v>0</v>
      </c>
      <c r="BB288" s="55">
        <f t="shared" ca="1" si="90"/>
        <v>0</v>
      </c>
      <c r="BC288" s="247">
        <f t="shared" si="91"/>
        <v>184</v>
      </c>
      <c r="BE288" s="239">
        <f t="shared" ca="1" si="92"/>
        <v>0</v>
      </c>
      <c r="BG288" s="239">
        <f t="shared" ca="1" si="93"/>
        <v>0</v>
      </c>
      <c r="BI288" s="222"/>
      <c r="BJ288" s="137">
        <v>0</v>
      </c>
      <c r="BK288" s="137">
        <v>0</v>
      </c>
      <c r="BL288" s="137">
        <f t="shared" ca="1" si="94"/>
        <v>1</v>
      </c>
      <c r="BM288" s="137">
        <f t="shared" ca="1" si="95"/>
        <v>1</v>
      </c>
      <c r="BN288" s="137">
        <f ca="1">(A288&gt;=N_LFP_Startdatum)*IF('  B  '!F$110=1,NOT(OR(A288&gt;S$221,A288&gt;S$231,A288&gt;S$241)),IF(BB288&gt;BC288,0,1))</f>
        <v>1</v>
      </c>
      <c r="BO288" s="137">
        <f t="shared" ca="1" si="96"/>
        <v>1</v>
      </c>
      <c r="BP288" s="137">
        <v>0</v>
      </c>
      <c r="BQ288" s="137">
        <f t="shared" ca="1" si="97"/>
        <v>1</v>
      </c>
      <c r="BR288" s="653">
        <v>0</v>
      </c>
      <c r="BS288" s="224">
        <f ca="1">(A288&gt;=N_LFP_Startdatum)*IF('  B  '!F$110=1,NOT(OR(A288&gt;S$221,A288&gt;S$231,A288&gt;S$241)),IF(BB288&gt;BC288,0,1))</f>
        <v>1</v>
      </c>
      <c r="BU288" s="562">
        <f t="shared" ca="1" si="98"/>
        <v>0</v>
      </c>
      <c r="BV288" s="156">
        <f ca="1">(R288=0)*MAX(0,(B288+C288+IF(ISERROR(N_NachtStufe),0,D288*OFFSET(Vorgabewerte!E$10:E$14,N_NachtStufe,0,1,1)))-(1-BU288)*N_ArbeitsstundenSollProKT)</f>
        <v>0</v>
      </c>
      <c r="BW288" s="156"/>
      <c r="BX288" s="156">
        <f ca="1">(AE288=5)*('  B  '!F$110=1)*(1-'  B  '!F$113+(AY288*'  B  '!F$114))*(G288*IF(N_ArbeitsstundenSollProKT&gt;0,N_Monatslohn/(P$2*N_ArbeitsstundenSollProKT),0))</f>
        <v>0</v>
      </c>
      <c r="BY288" s="156">
        <f ca="1">((BE288&gt;0)*(1-'  B  '!F$105)+(BE288&gt;'  B  '!F$104)*'  B  '!F$106)*(G288*IF(N_ArbeitsstundenSollProKT&gt;0,N_Monatslohn/(P$2*N_ArbeitsstundenSollProKT),0))</f>
        <v>0</v>
      </c>
      <c r="BZ288" s="156">
        <f t="shared" ca="1" si="99"/>
        <v>0</v>
      </c>
      <c r="CA288" s="156">
        <f t="shared" ca="1" si="100"/>
        <v>0</v>
      </c>
      <c r="CB288" s="156"/>
      <c r="CC288" s="156">
        <f ca="1">(AE288=5)*('  B  '!F$113-(AY288*'  B  '!F$114))*G288*CF$260</f>
        <v>0</v>
      </c>
      <c r="CD288" s="156">
        <f ca="1">((BE288&gt;0)*'  B  '!F$105-(BE288&gt;N_Wartefrist_Unfall)*'  B  '!F$106)*(G288*CF$260)</f>
        <v>0</v>
      </c>
      <c r="CE288" s="156">
        <f ca="1">OR(AE288&lt;5,AE288&gt;6)*G288*OFFSET(Vorgabewerte!C$56,AE288,0,1,1)*CF$260</f>
        <v>0</v>
      </c>
      <c r="CF288" s="156">
        <f t="shared" ca="1" si="101"/>
        <v>0</v>
      </c>
      <c r="CH288" s="270">
        <f ca="1">(AY288=1)*'  B  '!F$114*G288*(N_BruttoStundenSatz_Monatslohn+CF$260)</f>
        <v>0</v>
      </c>
      <c r="CI288" s="270">
        <f ca="1">(BE288&gt;N_Wartefrist_Unfall)*'  B  '!F$106*G288*(N_BruttoStundenSatz_Monatslohn+CF$260)</f>
        <v>0</v>
      </c>
      <c r="CJ288" s="270">
        <f ca="1">IF(VLOOKUP('  B  '!C$65,A_JaNein_Auswahl,2,0)=1,(CH288+CI288)/12,0)</f>
        <v>0</v>
      </c>
      <c r="CK288" s="284">
        <f t="shared" ca="1" si="102"/>
        <v>0</v>
      </c>
      <c r="CL288" s="270">
        <f t="shared" ca="1" si="103"/>
        <v>0</v>
      </c>
      <c r="CM288" s="265">
        <f t="shared" ca="1" si="104"/>
        <v>0</v>
      </c>
      <c r="CO288" s="222"/>
      <c r="CP288" s="137">
        <v>0</v>
      </c>
      <c r="CQ288" s="137">
        <v>0</v>
      </c>
      <c r="CR288" s="137">
        <v>0</v>
      </c>
      <c r="CS288" s="137">
        <f t="shared" ca="1" si="105"/>
        <v>0</v>
      </c>
      <c r="CT288" s="137">
        <f t="shared" ca="1" si="106"/>
        <v>0</v>
      </c>
      <c r="CU288" s="137">
        <f t="shared" ca="1" si="107"/>
        <v>0</v>
      </c>
      <c r="CV288" s="137">
        <v>0</v>
      </c>
      <c r="CW288" s="137">
        <f t="shared" ca="1" si="108"/>
        <v>0</v>
      </c>
      <c r="CX288" s="137">
        <v>0</v>
      </c>
      <c r="CY288" s="224">
        <f t="shared" ca="1" si="109"/>
        <v>0</v>
      </c>
      <c r="DA288" s="260">
        <f ca="1">(AE288=4)*I288*OFFSET(Vorgabewerte!D$56,AE288,0,1,1)*DB$259</f>
        <v>0</v>
      </c>
      <c r="DB288" s="379">
        <f ca="1">(AE288=5)*IF('  B  '!F$110=1,IF(NOT(AY288=1),I288*'  B  '!F$113*MIN(DB$259,DB$260),I288*MAX(0,OFFSET(Vorgabewerte!D$56,AE288,0,1,1)-'  B  '!F$114)*MIN(DB$259,DB$260)),I288*OFFSET(Vorgabewerte!D$56,AE288,0,1,1)*MIN(DB$259,DB$260))</f>
        <v>0</v>
      </c>
      <c r="DC288" s="379">
        <f ca="1">(AE288=6)*IF(NOT(BE288&gt;N_Wartefrist_Unfall),I288*'  B  '!F$105*MIN(DB$259,DB$260),I288*MAX(0,OFFSET(Vorgabewerte!D$56,AE288,0,1,1)-'  B  '!F$106)*MIN(DB$259,DB$260))</f>
        <v>0</v>
      </c>
      <c r="DD288" s="255">
        <f ca="1">NOT(OR(AE288=4,AE288=5,AE288=6))*I288*OFFSET(Vorgabewerte!D$56,AE288,0,1,1)*MIN(DB$259,DB$260)</f>
        <v>0</v>
      </c>
      <c r="DE288" s="278">
        <f t="shared" ca="1" si="110"/>
        <v>0</v>
      </c>
      <c r="DF288" s="279">
        <f t="shared" ca="1" si="111"/>
        <v>0</v>
      </c>
      <c r="DG288" s="280">
        <f t="shared" ca="1" si="112"/>
        <v>0</v>
      </c>
      <c r="DI288" s="260">
        <f ca="1">(AE288=4)*I288*OFFSET(Vorgabewerte!D$56,AE288,0,1,1)*DJ$260</f>
        <v>0</v>
      </c>
      <c r="DJ288" s="379">
        <f ca="1">(AE288=5)*IF('  B  '!F$110=1,IF(NOT(AY288=1),I288*'  B  '!F$113*DJ$260,I288*MAX(0,OFFSET(Vorgabewerte!D$56,AE288,0,1,1)-'  B  '!F$114)*DJ$260),I288*OFFSET(Vorgabewerte!D$56,AE288,0,1,1)*DJ$260)</f>
        <v>0</v>
      </c>
      <c r="DK288" s="379">
        <f ca="1">(AE288=6)*IF(NOT(BE288&gt;N_Wartefrist_Unfall),I288*'  B  '!F$105*DJ$260,I288*MAX(0,OFFSET(Vorgabewerte!D$56,AE288,0,1,1)-'  B  '!F$106)*DJ$260)</f>
        <v>0</v>
      </c>
      <c r="DL288" s="255">
        <f ca="1">NOT(OR(AM288=4,AM288=5,AM288=6))*Q288*OFFSET(Vorgabewerte!L$56,AM288,0,1,1)*DJ$260</f>
        <v>0</v>
      </c>
      <c r="DM288" s="674">
        <f t="shared" ca="1" si="115"/>
        <v>0</v>
      </c>
      <c r="DN288" s="279">
        <f t="shared" ca="1" si="116"/>
        <v>0</v>
      </c>
      <c r="DO288" s="279">
        <f t="shared" ca="1" si="117"/>
        <v>0</v>
      </c>
    </row>
    <row r="289" spans="1:119" x14ac:dyDescent="0.25">
      <c r="A289" s="153">
        <f t="shared" si="113"/>
        <v>45499</v>
      </c>
      <c r="B289" s="154"/>
      <c r="C289" s="154"/>
      <c r="D289" s="154"/>
      <c r="E289" s="875" t="str">
        <f t="shared" ca="1" si="57"/>
        <v/>
      </c>
      <c r="F289" s="876"/>
      <c r="G289" s="667">
        <f t="shared" ca="1" si="114"/>
        <v>0</v>
      </c>
      <c r="H289" s="667">
        <f t="shared" ca="1" si="58"/>
        <v>0</v>
      </c>
      <c r="I289" s="667">
        <f t="shared" ca="1" si="59"/>
        <v>0</v>
      </c>
      <c r="P289" s="151">
        <f t="shared" si="60"/>
        <v>125</v>
      </c>
      <c r="R289" s="55">
        <f t="shared" si="61"/>
        <v>0</v>
      </c>
      <c r="S289" s="55">
        <f t="shared" si="62"/>
        <v>1</v>
      </c>
      <c r="U289" s="226">
        <f t="shared" si="63"/>
        <v>0</v>
      </c>
      <c r="V289" s="137">
        <f t="shared" ca="1" si="64"/>
        <v>0</v>
      </c>
      <c r="W289" s="137">
        <f t="shared" si="65"/>
        <v>0</v>
      </c>
      <c r="X289" s="137">
        <f t="shared" si="66"/>
        <v>0</v>
      </c>
      <c r="Y289" s="137">
        <f t="shared" ca="1" si="67"/>
        <v>0</v>
      </c>
      <c r="Z289" s="137">
        <f t="shared" ca="1" si="68"/>
        <v>0</v>
      </c>
      <c r="AA289" s="137">
        <f t="shared" ca="1" si="69"/>
        <v>0</v>
      </c>
      <c r="AB289" s="137">
        <f t="shared" ca="1" si="70"/>
        <v>0</v>
      </c>
      <c r="AC289" s="137">
        <f t="shared" ca="1" si="71"/>
        <v>0</v>
      </c>
      <c r="AD289" s="137">
        <f t="shared" ca="1" si="72"/>
        <v>0</v>
      </c>
      <c r="AE289" s="223">
        <f t="shared" ca="1" si="73"/>
        <v>0</v>
      </c>
      <c r="AF289" s="229" t="str">
        <f t="shared" ca="1" si="74"/>
        <v/>
      </c>
      <c r="AH289" s="235">
        <f t="shared" si="75"/>
        <v>45499</v>
      </c>
      <c r="AI289" s="137">
        <f t="shared" ca="1" si="76"/>
        <v>0</v>
      </c>
      <c r="AJ289" s="137">
        <f t="shared" si="77"/>
        <v>0</v>
      </c>
      <c r="AK289" s="137">
        <f t="shared" ca="1" si="78"/>
        <v>0</v>
      </c>
      <c r="AL289" s="137">
        <f t="shared" ca="1" si="79"/>
        <v>0</v>
      </c>
      <c r="AM289" s="137">
        <f t="shared" si="80"/>
        <v>0</v>
      </c>
      <c r="AN289" s="137">
        <f t="shared" ca="1" si="81"/>
        <v>0</v>
      </c>
      <c r="AO289" s="137">
        <f t="shared" ca="1" si="82"/>
        <v>0</v>
      </c>
      <c r="AP289" s="137">
        <f t="shared" ca="1" si="83"/>
        <v>0</v>
      </c>
      <c r="AQ289" s="137">
        <f t="shared" si="84"/>
        <v>0</v>
      </c>
      <c r="AR289" s="236">
        <f t="shared" ca="1" si="85"/>
        <v>0</v>
      </c>
      <c r="AT289" s="241">
        <f t="shared" ca="1" si="86"/>
        <v>28</v>
      </c>
      <c r="AV289" s="222">
        <f t="shared" ca="1" si="87"/>
        <v>0</v>
      </c>
      <c r="AW289" s="247">
        <f t="shared" si="88"/>
        <v>91</v>
      </c>
      <c r="AY289" s="239">
        <f ca="1">(AE289=5)*('  B  '!F$110=1)*OR(AND(AND(A289&gt;=S$220,A289&gt;=I$214),AND(A289&lt;=S$221,A289&lt;=I$215)),AND(AND(A289&gt;=S$230,A289&gt;=I$224),AND(A289&lt;=S$231,A289&lt;=I$225)),AND(AND(A289&gt;=S$240,A289&gt;=I$234),AND(A289&lt;=S$241,A289&lt;=I$235)))</f>
        <v>0</v>
      </c>
      <c r="BA289" s="222">
        <f t="shared" ca="1" si="89"/>
        <v>0</v>
      </c>
      <c r="BB289" s="55">
        <f t="shared" ca="1" si="90"/>
        <v>0</v>
      </c>
      <c r="BC289" s="247">
        <f t="shared" si="91"/>
        <v>184</v>
      </c>
      <c r="BE289" s="239">
        <f t="shared" ca="1" si="92"/>
        <v>0</v>
      </c>
      <c r="BG289" s="239">
        <f t="shared" ca="1" si="93"/>
        <v>0</v>
      </c>
      <c r="BI289" s="222"/>
      <c r="BJ289" s="137">
        <v>0</v>
      </c>
      <c r="BK289" s="137">
        <v>0</v>
      </c>
      <c r="BL289" s="137">
        <f t="shared" ca="1" si="94"/>
        <v>1</v>
      </c>
      <c r="BM289" s="137">
        <f t="shared" ca="1" si="95"/>
        <v>1</v>
      </c>
      <c r="BN289" s="137">
        <f ca="1">(A289&gt;=N_LFP_Startdatum)*IF('  B  '!F$110=1,NOT(OR(A289&gt;S$221,A289&gt;S$231,A289&gt;S$241)),IF(BB289&gt;BC289,0,1))</f>
        <v>1</v>
      </c>
      <c r="BO289" s="137">
        <f t="shared" ca="1" si="96"/>
        <v>1</v>
      </c>
      <c r="BP289" s="137">
        <v>0</v>
      </c>
      <c r="BQ289" s="137">
        <f t="shared" ca="1" si="97"/>
        <v>1</v>
      </c>
      <c r="BR289" s="653">
        <v>0</v>
      </c>
      <c r="BS289" s="224">
        <f ca="1">(A289&gt;=N_LFP_Startdatum)*IF('  B  '!F$110=1,NOT(OR(A289&gt;S$221,A289&gt;S$231,A289&gt;S$241)),IF(BB289&gt;BC289,0,1))</f>
        <v>1</v>
      </c>
      <c r="BU289" s="562">
        <f t="shared" ca="1" si="98"/>
        <v>0</v>
      </c>
      <c r="BV289" s="156">
        <f ca="1">(R289=0)*MAX(0,(B289+C289+IF(ISERROR(N_NachtStufe),0,D289*OFFSET(Vorgabewerte!E$10:E$14,N_NachtStufe,0,1,1)))-(1-BU289)*N_ArbeitsstundenSollProKT)</f>
        <v>0</v>
      </c>
      <c r="BW289" s="156"/>
      <c r="BX289" s="156">
        <f ca="1">(AE289=5)*('  B  '!F$110=1)*(1-'  B  '!F$113+(AY289*'  B  '!F$114))*(G289*IF(N_ArbeitsstundenSollProKT&gt;0,N_Monatslohn/(P$2*N_ArbeitsstundenSollProKT),0))</f>
        <v>0</v>
      </c>
      <c r="BY289" s="156">
        <f ca="1">((BE289&gt;0)*(1-'  B  '!F$105)+(BE289&gt;'  B  '!F$104)*'  B  '!F$106)*(G289*IF(N_ArbeitsstundenSollProKT&gt;0,N_Monatslohn/(P$2*N_ArbeitsstundenSollProKT),0))</f>
        <v>0</v>
      </c>
      <c r="BZ289" s="156">
        <f t="shared" ca="1" si="99"/>
        <v>0</v>
      </c>
      <c r="CA289" s="156">
        <f t="shared" ca="1" si="100"/>
        <v>0</v>
      </c>
      <c r="CB289" s="156"/>
      <c r="CC289" s="156">
        <f ca="1">(AE289=5)*('  B  '!F$113-(AY289*'  B  '!F$114))*G289*CF$260</f>
        <v>0</v>
      </c>
      <c r="CD289" s="156">
        <f ca="1">((BE289&gt;0)*'  B  '!F$105-(BE289&gt;N_Wartefrist_Unfall)*'  B  '!F$106)*(G289*CF$260)</f>
        <v>0</v>
      </c>
      <c r="CE289" s="156">
        <f ca="1">OR(AE289&lt;5,AE289&gt;6)*G289*OFFSET(Vorgabewerte!C$56,AE289,0,1,1)*CF$260</f>
        <v>0</v>
      </c>
      <c r="CF289" s="156">
        <f t="shared" ca="1" si="101"/>
        <v>0</v>
      </c>
      <c r="CH289" s="270">
        <f ca="1">(AY289=1)*'  B  '!F$114*G289*(N_BruttoStundenSatz_Monatslohn+CF$260)</f>
        <v>0</v>
      </c>
      <c r="CI289" s="270">
        <f ca="1">(BE289&gt;N_Wartefrist_Unfall)*'  B  '!F$106*G289*(N_BruttoStundenSatz_Monatslohn+CF$260)</f>
        <v>0</v>
      </c>
      <c r="CJ289" s="270">
        <f ca="1">IF(VLOOKUP('  B  '!C$65,A_JaNein_Auswahl,2,0)=1,(CH289+CI289)/12,0)</f>
        <v>0</v>
      </c>
      <c r="CK289" s="284">
        <f t="shared" ca="1" si="102"/>
        <v>0</v>
      </c>
      <c r="CL289" s="270">
        <f t="shared" ca="1" si="103"/>
        <v>0</v>
      </c>
      <c r="CM289" s="265">
        <f t="shared" ca="1" si="104"/>
        <v>0</v>
      </c>
      <c r="CO289" s="222"/>
      <c r="CP289" s="137">
        <v>0</v>
      </c>
      <c r="CQ289" s="137">
        <v>0</v>
      </c>
      <c r="CR289" s="137">
        <v>0</v>
      </c>
      <c r="CS289" s="137">
        <f t="shared" ca="1" si="105"/>
        <v>0</v>
      </c>
      <c r="CT289" s="137">
        <f t="shared" ca="1" si="106"/>
        <v>0</v>
      </c>
      <c r="CU289" s="137">
        <f t="shared" ca="1" si="107"/>
        <v>0</v>
      </c>
      <c r="CV289" s="137">
        <v>0</v>
      </c>
      <c r="CW289" s="137">
        <f t="shared" ca="1" si="108"/>
        <v>0</v>
      </c>
      <c r="CX289" s="137">
        <v>0</v>
      </c>
      <c r="CY289" s="224">
        <f t="shared" ca="1" si="109"/>
        <v>0</v>
      </c>
      <c r="DA289" s="260">
        <f ca="1">(AE289=4)*I289*OFFSET(Vorgabewerte!D$56,AE289,0,1,1)*DB$259</f>
        <v>0</v>
      </c>
      <c r="DB289" s="379">
        <f ca="1">(AE289=5)*IF('  B  '!F$110=1,IF(NOT(AY289=1),I289*'  B  '!F$113*MIN(DB$259,DB$260),I289*MAX(0,OFFSET(Vorgabewerte!D$56,AE289,0,1,1)-'  B  '!F$114)*MIN(DB$259,DB$260)),I289*OFFSET(Vorgabewerte!D$56,AE289,0,1,1)*MIN(DB$259,DB$260))</f>
        <v>0</v>
      </c>
      <c r="DC289" s="379">
        <f ca="1">(AE289=6)*IF(NOT(BE289&gt;N_Wartefrist_Unfall),I289*'  B  '!F$105*MIN(DB$259,DB$260),I289*MAX(0,OFFSET(Vorgabewerte!D$56,AE289,0,1,1)-'  B  '!F$106)*MIN(DB$259,DB$260))</f>
        <v>0</v>
      </c>
      <c r="DD289" s="255">
        <f ca="1">NOT(OR(AE289=4,AE289=5,AE289=6))*I289*OFFSET(Vorgabewerte!D$56,AE289,0,1,1)*MIN(DB$259,DB$260)</f>
        <v>0</v>
      </c>
      <c r="DE289" s="278">
        <f t="shared" ca="1" si="110"/>
        <v>0</v>
      </c>
      <c r="DF289" s="279">
        <f t="shared" ca="1" si="111"/>
        <v>0</v>
      </c>
      <c r="DG289" s="280">
        <f t="shared" ca="1" si="112"/>
        <v>0</v>
      </c>
      <c r="DI289" s="260">
        <f ca="1">(AE289=4)*I289*OFFSET(Vorgabewerte!D$56,AE289,0,1,1)*DJ$260</f>
        <v>0</v>
      </c>
      <c r="DJ289" s="379">
        <f ca="1">(AE289=5)*IF('  B  '!F$110=1,IF(NOT(AY289=1),I289*'  B  '!F$113*DJ$260,I289*MAX(0,OFFSET(Vorgabewerte!D$56,AE289,0,1,1)-'  B  '!F$114)*DJ$260),I289*OFFSET(Vorgabewerte!D$56,AE289,0,1,1)*DJ$260)</f>
        <v>0</v>
      </c>
      <c r="DK289" s="379">
        <f ca="1">(AE289=6)*IF(NOT(BE289&gt;N_Wartefrist_Unfall),I289*'  B  '!F$105*DJ$260,I289*MAX(0,OFFSET(Vorgabewerte!D$56,AE289,0,1,1)-'  B  '!F$106)*DJ$260)</f>
        <v>0</v>
      </c>
      <c r="DL289" s="255">
        <f ca="1">NOT(OR(AM289=4,AM289=5,AM289=6))*Q289*OFFSET(Vorgabewerte!L$56,AM289,0,1,1)*DJ$260</f>
        <v>0</v>
      </c>
      <c r="DM289" s="674">
        <f t="shared" ca="1" si="115"/>
        <v>0</v>
      </c>
      <c r="DN289" s="279">
        <f t="shared" ca="1" si="116"/>
        <v>0</v>
      </c>
      <c r="DO289" s="279">
        <f t="shared" ca="1" si="117"/>
        <v>0</v>
      </c>
    </row>
    <row r="290" spans="1:119" x14ac:dyDescent="0.25">
      <c r="A290" s="153">
        <f t="shared" si="113"/>
        <v>45500</v>
      </c>
      <c r="B290" s="154"/>
      <c r="C290" s="154"/>
      <c r="D290" s="154"/>
      <c r="E290" s="875" t="str">
        <f t="shared" ca="1" si="57"/>
        <v/>
      </c>
      <c r="F290" s="876"/>
      <c r="G290" s="667">
        <f t="shared" ca="1" si="114"/>
        <v>0</v>
      </c>
      <c r="H290" s="667">
        <f t="shared" ca="1" si="58"/>
        <v>0</v>
      </c>
      <c r="I290" s="667">
        <f t="shared" ca="1" si="59"/>
        <v>0</v>
      </c>
      <c r="P290" s="151">
        <f t="shared" si="60"/>
        <v>125</v>
      </c>
      <c r="R290" s="55">
        <f t="shared" si="61"/>
        <v>0</v>
      </c>
      <c r="S290" s="55">
        <f t="shared" si="62"/>
        <v>1</v>
      </c>
      <c r="U290" s="226">
        <f t="shared" si="63"/>
        <v>0</v>
      </c>
      <c r="V290" s="137">
        <f t="shared" ca="1" si="64"/>
        <v>0</v>
      </c>
      <c r="W290" s="137">
        <f t="shared" si="65"/>
        <v>0</v>
      </c>
      <c r="X290" s="137">
        <f t="shared" si="66"/>
        <v>0</v>
      </c>
      <c r="Y290" s="137">
        <f t="shared" ca="1" si="67"/>
        <v>0</v>
      </c>
      <c r="Z290" s="137">
        <f t="shared" ca="1" si="68"/>
        <v>0</v>
      </c>
      <c r="AA290" s="137">
        <f t="shared" ca="1" si="69"/>
        <v>0</v>
      </c>
      <c r="AB290" s="137">
        <f t="shared" ca="1" si="70"/>
        <v>0</v>
      </c>
      <c r="AC290" s="137">
        <f t="shared" ca="1" si="71"/>
        <v>0</v>
      </c>
      <c r="AD290" s="137">
        <f t="shared" ca="1" si="72"/>
        <v>0</v>
      </c>
      <c r="AE290" s="223">
        <f t="shared" ca="1" si="73"/>
        <v>0</v>
      </c>
      <c r="AF290" s="229" t="str">
        <f t="shared" ca="1" si="74"/>
        <v/>
      </c>
      <c r="AH290" s="235">
        <f t="shared" si="75"/>
        <v>45500</v>
      </c>
      <c r="AI290" s="137">
        <f t="shared" ca="1" si="76"/>
        <v>0</v>
      </c>
      <c r="AJ290" s="137">
        <f t="shared" si="77"/>
        <v>0</v>
      </c>
      <c r="AK290" s="137">
        <f t="shared" ca="1" si="78"/>
        <v>0</v>
      </c>
      <c r="AL290" s="137">
        <f t="shared" ca="1" si="79"/>
        <v>0</v>
      </c>
      <c r="AM290" s="137">
        <f t="shared" si="80"/>
        <v>0</v>
      </c>
      <c r="AN290" s="137">
        <f t="shared" ca="1" si="81"/>
        <v>0</v>
      </c>
      <c r="AO290" s="137">
        <f t="shared" ca="1" si="82"/>
        <v>0</v>
      </c>
      <c r="AP290" s="137">
        <f t="shared" ca="1" si="83"/>
        <v>0</v>
      </c>
      <c r="AQ290" s="137">
        <f t="shared" si="84"/>
        <v>0</v>
      </c>
      <c r="AR290" s="236">
        <f t="shared" ca="1" si="85"/>
        <v>0</v>
      </c>
      <c r="AT290" s="241">
        <f t="shared" ca="1" si="86"/>
        <v>28</v>
      </c>
      <c r="AV290" s="222">
        <f t="shared" ca="1" si="87"/>
        <v>0</v>
      </c>
      <c r="AW290" s="247">
        <f t="shared" si="88"/>
        <v>91</v>
      </c>
      <c r="AY290" s="239">
        <f ca="1">(AE290=5)*('  B  '!F$110=1)*OR(AND(AND(A290&gt;=S$220,A290&gt;=I$214),AND(A290&lt;=S$221,A290&lt;=I$215)),AND(AND(A290&gt;=S$230,A290&gt;=I$224),AND(A290&lt;=S$231,A290&lt;=I$225)),AND(AND(A290&gt;=S$240,A290&gt;=I$234),AND(A290&lt;=S$241,A290&lt;=I$235)))</f>
        <v>0</v>
      </c>
      <c r="BA290" s="222">
        <f t="shared" ca="1" si="89"/>
        <v>0</v>
      </c>
      <c r="BB290" s="55">
        <f t="shared" ca="1" si="90"/>
        <v>0</v>
      </c>
      <c r="BC290" s="247">
        <f t="shared" si="91"/>
        <v>184</v>
      </c>
      <c r="BE290" s="239">
        <f t="shared" ca="1" si="92"/>
        <v>0</v>
      </c>
      <c r="BG290" s="239">
        <f t="shared" ca="1" si="93"/>
        <v>0</v>
      </c>
      <c r="BI290" s="222"/>
      <c r="BJ290" s="137">
        <v>0</v>
      </c>
      <c r="BK290" s="137">
        <v>0</v>
      </c>
      <c r="BL290" s="137">
        <f t="shared" ca="1" si="94"/>
        <v>1</v>
      </c>
      <c r="BM290" s="137">
        <f t="shared" ca="1" si="95"/>
        <v>1</v>
      </c>
      <c r="BN290" s="137">
        <f ca="1">(A290&gt;=N_LFP_Startdatum)*IF('  B  '!F$110=1,NOT(OR(A290&gt;S$221,A290&gt;S$231,A290&gt;S$241)),IF(BB290&gt;BC290,0,1))</f>
        <v>1</v>
      </c>
      <c r="BO290" s="137">
        <f t="shared" ca="1" si="96"/>
        <v>1</v>
      </c>
      <c r="BP290" s="137">
        <v>0</v>
      </c>
      <c r="BQ290" s="137">
        <f t="shared" ca="1" si="97"/>
        <v>1</v>
      </c>
      <c r="BR290" s="653">
        <v>0</v>
      </c>
      <c r="BS290" s="224">
        <f ca="1">(A290&gt;=N_LFP_Startdatum)*IF('  B  '!F$110=1,NOT(OR(A290&gt;S$221,A290&gt;S$231,A290&gt;S$241)),IF(BB290&gt;BC290,0,1))</f>
        <v>1</v>
      </c>
      <c r="BU290" s="562">
        <f t="shared" ca="1" si="98"/>
        <v>0</v>
      </c>
      <c r="BV290" s="156">
        <f ca="1">(R290=0)*MAX(0,(B290+C290+IF(ISERROR(N_NachtStufe),0,D290*OFFSET(Vorgabewerte!E$10:E$14,N_NachtStufe,0,1,1)))-(1-BU290)*N_ArbeitsstundenSollProKT)</f>
        <v>0</v>
      </c>
      <c r="BW290" s="156"/>
      <c r="BX290" s="156">
        <f ca="1">(AE290=5)*('  B  '!F$110=1)*(1-'  B  '!F$113+(AY290*'  B  '!F$114))*(G290*IF(N_ArbeitsstundenSollProKT&gt;0,N_Monatslohn/(P$2*N_ArbeitsstundenSollProKT),0))</f>
        <v>0</v>
      </c>
      <c r="BY290" s="156">
        <f ca="1">((BE290&gt;0)*(1-'  B  '!F$105)+(BE290&gt;'  B  '!F$104)*'  B  '!F$106)*(G290*IF(N_ArbeitsstundenSollProKT&gt;0,N_Monatslohn/(P$2*N_ArbeitsstundenSollProKT),0))</f>
        <v>0</v>
      </c>
      <c r="BZ290" s="156">
        <f t="shared" ca="1" si="99"/>
        <v>0</v>
      </c>
      <c r="CA290" s="156">
        <f t="shared" ca="1" si="100"/>
        <v>0</v>
      </c>
      <c r="CB290" s="156"/>
      <c r="CC290" s="156">
        <f ca="1">(AE290=5)*('  B  '!F$113-(AY290*'  B  '!F$114))*G290*CF$260</f>
        <v>0</v>
      </c>
      <c r="CD290" s="156">
        <f ca="1">((BE290&gt;0)*'  B  '!F$105-(BE290&gt;N_Wartefrist_Unfall)*'  B  '!F$106)*(G290*CF$260)</f>
        <v>0</v>
      </c>
      <c r="CE290" s="156">
        <f ca="1">OR(AE290&lt;5,AE290&gt;6)*G290*OFFSET(Vorgabewerte!C$56,AE290,0,1,1)*CF$260</f>
        <v>0</v>
      </c>
      <c r="CF290" s="156">
        <f t="shared" ca="1" si="101"/>
        <v>0</v>
      </c>
      <c r="CH290" s="270">
        <f ca="1">(AY290=1)*'  B  '!F$114*G290*(N_BruttoStundenSatz_Monatslohn+CF$260)</f>
        <v>0</v>
      </c>
      <c r="CI290" s="270">
        <f ca="1">(BE290&gt;N_Wartefrist_Unfall)*'  B  '!F$106*G290*(N_BruttoStundenSatz_Monatslohn+CF$260)</f>
        <v>0</v>
      </c>
      <c r="CJ290" s="270">
        <f ca="1">IF(VLOOKUP('  B  '!C$65,A_JaNein_Auswahl,2,0)=1,(CH290+CI290)/12,0)</f>
        <v>0</v>
      </c>
      <c r="CK290" s="284">
        <f t="shared" ca="1" si="102"/>
        <v>0</v>
      </c>
      <c r="CL290" s="270">
        <f t="shared" ca="1" si="103"/>
        <v>0</v>
      </c>
      <c r="CM290" s="265">
        <f t="shared" ca="1" si="104"/>
        <v>0</v>
      </c>
      <c r="CO290" s="222"/>
      <c r="CP290" s="137">
        <v>0</v>
      </c>
      <c r="CQ290" s="137">
        <v>0</v>
      </c>
      <c r="CR290" s="137">
        <v>0</v>
      </c>
      <c r="CS290" s="137">
        <f t="shared" ca="1" si="105"/>
        <v>0</v>
      </c>
      <c r="CT290" s="137">
        <f t="shared" ca="1" si="106"/>
        <v>0</v>
      </c>
      <c r="CU290" s="137">
        <f t="shared" ca="1" si="107"/>
        <v>0</v>
      </c>
      <c r="CV290" s="137">
        <v>0</v>
      </c>
      <c r="CW290" s="137">
        <f t="shared" ca="1" si="108"/>
        <v>0</v>
      </c>
      <c r="CX290" s="137">
        <v>0</v>
      </c>
      <c r="CY290" s="224">
        <f t="shared" ca="1" si="109"/>
        <v>0</v>
      </c>
      <c r="DA290" s="260">
        <f ca="1">(AE290=4)*I290*OFFSET(Vorgabewerte!D$56,AE290,0,1,1)*DB$259</f>
        <v>0</v>
      </c>
      <c r="DB290" s="379">
        <f ca="1">(AE290=5)*IF('  B  '!F$110=1,IF(NOT(AY290=1),I290*'  B  '!F$113*MIN(DB$259,DB$260),I290*MAX(0,OFFSET(Vorgabewerte!D$56,AE290,0,1,1)-'  B  '!F$114)*MIN(DB$259,DB$260)),I290*OFFSET(Vorgabewerte!D$56,AE290,0,1,1)*MIN(DB$259,DB$260))</f>
        <v>0</v>
      </c>
      <c r="DC290" s="379">
        <f ca="1">(AE290=6)*IF(NOT(BE290&gt;N_Wartefrist_Unfall),I290*'  B  '!F$105*MIN(DB$259,DB$260),I290*MAX(0,OFFSET(Vorgabewerte!D$56,AE290,0,1,1)-'  B  '!F$106)*MIN(DB$259,DB$260))</f>
        <v>0</v>
      </c>
      <c r="DD290" s="255">
        <f ca="1">NOT(OR(AE290=4,AE290=5,AE290=6))*I290*OFFSET(Vorgabewerte!D$56,AE290,0,1,1)*MIN(DB$259,DB$260)</f>
        <v>0</v>
      </c>
      <c r="DE290" s="278">
        <f t="shared" ca="1" si="110"/>
        <v>0</v>
      </c>
      <c r="DF290" s="279">
        <f t="shared" ca="1" si="111"/>
        <v>0</v>
      </c>
      <c r="DG290" s="280">
        <f t="shared" ca="1" si="112"/>
        <v>0</v>
      </c>
      <c r="DI290" s="260">
        <f ca="1">(AE290=4)*I290*OFFSET(Vorgabewerte!D$56,AE290,0,1,1)*DJ$260</f>
        <v>0</v>
      </c>
      <c r="DJ290" s="379">
        <f ca="1">(AE290=5)*IF('  B  '!F$110=1,IF(NOT(AY290=1),I290*'  B  '!F$113*DJ$260,I290*MAX(0,OFFSET(Vorgabewerte!D$56,AE290,0,1,1)-'  B  '!F$114)*DJ$260),I290*OFFSET(Vorgabewerte!D$56,AE290,0,1,1)*DJ$260)</f>
        <v>0</v>
      </c>
      <c r="DK290" s="379">
        <f ca="1">(AE290=6)*IF(NOT(BE290&gt;N_Wartefrist_Unfall),I290*'  B  '!F$105*DJ$260,I290*MAX(0,OFFSET(Vorgabewerte!D$56,AE290,0,1,1)-'  B  '!F$106)*DJ$260)</f>
        <v>0</v>
      </c>
      <c r="DL290" s="255">
        <f ca="1">NOT(OR(AM290=4,AM290=5,AM290=6))*Q290*OFFSET(Vorgabewerte!L$56,AM290,0,1,1)*DJ$260</f>
        <v>0</v>
      </c>
      <c r="DM290" s="674">
        <f t="shared" ca="1" si="115"/>
        <v>0</v>
      </c>
      <c r="DN290" s="279">
        <f t="shared" ca="1" si="116"/>
        <v>0</v>
      </c>
      <c r="DO290" s="279">
        <f t="shared" ca="1" si="117"/>
        <v>0</v>
      </c>
    </row>
    <row r="291" spans="1:119" x14ac:dyDescent="0.25">
      <c r="A291" s="153">
        <f t="shared" si="113"/>
        <v>45501</v>
      </c>
      <c r="B291" s="154"/>
      <c r="C291" s="154"/>
      <c r="D291" s="154"/>
      <c r="E291" s="875" t="str">
        <f t="shared" ca="1" si="57"/>
        <v/>
      </c>
      <c r="F291" s="876"/>
      <c r="G291" s="667">
        <f t="shared" ca="1" si="114"/>
        <v>0</v>
      </c>
      <c r="H291" s="667">
        <f t="shared" ca="1" si="58"/>
        <v>0</v>
      </c>
      <c r="I291" s="667">
        <f t="shared" ca="1" si="59"/>
        <v>0</v>
      </c>
      <c r="P291" s="151">
        <f t="shared" si="60"/>
        <v>125</v>
      </c>
      <c r="R291" s="55">
        <f t="shared" si="61"/>
        <v>0</v>
      </c>
      <c r="S291" s="55">
        <f t="shared" si="62"/>
        <v>1</v>
      </c>
      <c r="U291" s="226">
        <f t="shared" si="63"/>
        <v>0</v>
      </c>
      <c r="V291" s="137">
        <f t="shared" ca="1" si="64"/>
        <v>0</v>
      </c>
      <c r="W291" s="137">
        <f t="shared" si="65"/>
        <v>0</v>
      </c>
      <c r="X291" s="137">
        <f t="shared" si="66"/>
        <v>0</v>
      </c>
      <c r="Y291" s="137">
        <f t="shared" ca="1" si="67"/>
        <v>0</v>
      </c>
      <c r="Z291" s="137">
        <f t="shared" ca="1" si="68"/>
        <v>0</v>
      </c>
      <c r="AA291" s="137">
        <f t="shared" ca="1" si="69"/>
        <v>0</v>
      </c>
      <c r="AB291" s="137">
        <f t="shared" ca="1" si="70"/>
        <v>0</v>
      </c>
      <c r="AC291" s="137">
        <f t="shared" ca="1" si="71"/>
        <v>0</v>
      </c>
      <c r="AD291" s="137">
        <f t="shared" ca="1" si="72"/>
        <v>0</v>
      </c>
      <c r="AE291" s="223">
        <f t="shared" ca="1" si="73"/>
        <v>0</v>
      </c>
      <c r="AF291" s="229" t="str">
        <f t="shared" ca="1" si="74"/>
        <v/>
      </c>
      <c r="AH291" s="235">
        <f t="shared" si="75"/>
        <v>45501</v>
      </c>
      <c r="AI291" s="137">
        <f t="shared" ca="1" si="76"/>
        <v>0</v>
      </c>
      <c r="AJ291" s="137">
        <f t="shared" si="77"/>
        <v>0</v>
      </c>
      <c r="AK291" s="137">
        <f t="shared" ca="1" si="78"/>
        <v>0</v>
      </c>
      <c r="AL291" s="137">
        <f t="shared" ca="1" si="79"/>
        <v>0</v>
      </c>
      <c r="AM291" s="137">
        <f t="shared" si="80"/>
        <v>0</v>
      </c>
      <c r="AN291" s="137">
        <f t="shared" ca="1" si="81"/>
        <v>0</v>
      </c>
      <c r="AO291" s="137">
        <f t="shared" ca="1" si="82"/>
        <v>0</v>
      </c>
      <c r="AP291" s="137">
        <f t="shared" ca="1" si="83"/>
        <v>0</v>
      </c>
      <c r="AQ291" s="137">
        <f t="shared" si="84"/>
        <v>0</v>
      </c>
      <c r="AR291" s="236">
        <f t="shared" ca="1" si="85"/>
        <v>0</v>
      </c>
      <c r="AT291" s="241">
        <f t="shared" ca="1" si="86"/>
        <v>28</v>
      </c>
      <c r="AV291" s="222">
        <f t="shared" ca="1" si="87"/>
        <v>0</v>
      </c>
      <c r="AW291" s="247">
        <f t="shared" si="88"/>
        <v>91</v>
      </c>
      <c r="AY291" s="239">
        <f ca="1">(AE291=5)*('  B  '!F$110=1)*OR(AND(AND(A291&gt;=S$220,A291&gt;=I$214),AND(A291&lt;=S$221,A291&lt;=I$215)),AND(AND(A291&gt;=S$230,A291&gt;=I$224),AND(A291&lt;=S$231,A291&lt;=I$225)),AND(AND(A291&gt;=S$240,A291&gt;=I$234),AND(A291&lt;=S$241,A291&lt;=I$235)))</f>
        <v>0</v>
      </c>
      <c r="BA291" s="222">
        <f t="shared" ca="1" si="89"/>
        <v>0</v>
      </c>
      <c r="BB291" s="55">
        <f t="shared" ca="1" si="90"/>
        <v>0</v>
      </c>
      <c r="BC291" s="247">
        <f t="shared" si="91"/>
        <v>184</v>
      </c>
      <c r="BE291" s="239">
        <f t="shared" ca="1" si="92"/>
        <v>0</v>
      </c>
      <c r="BG291" s="239">
        <f t="shared" ca="1" si="93"/>
        <v>0</v>
      </c>
      <c r="BI291" s="222"/>
      <c r="BJ291" s="137">
        <v>0</v>
      </c>
      <c r="BK291" s="137">
        <v>0</v>
      </c>
      <c r="BL291" s="137">
        <f t="shared" ca="1" si="94"/>
        <v>1</v>
      </c>
      <c r="BM291" s="137">
        <f t="shared" ca="1" si="95"/>
        <v>1</v>
      </c>
      <c r="BN291" s="137">
        <f ca="1">(A291&gt;=N_LFP_Startdatum)*IF('  B  '!F$110=1,NOT(OR(A291&gt;S$221,A291&gt;S$231,A291&gt;S$241)),IF(BB291&gt;BC291,0,1))</f>
        <v>1</v>
      </c>
      <c r="BO291" s="137">
        <f t="shared" ca="1" si="96"/>
        <v>1</v>
      </c>
      <c r="BP291" s="137">
        <v>0</v>
      </c>
      <c r="BQ291" s="137">
        <f t="shared" ca="1" si="97"/>
        <v>1</v>
      </c>
      <c r="BR291" s="653">
        <v>0</v>
      </c>
      <c r="BS291" s="224">
        <f ca="1">(A291&gt;=N_LFP_Startdatum)*IF('  B  '!F$110=1,NOT(OR(A291&gt;S$221,A291&gt;S$231,A291&gt;S$241)),IF(BB291&gt;BC291,0,1))</f>
        <v>1</v>
      </c>
      <c r="BU291" s="562">
        <f t="shared" ca="1" si="98"/>
        <v>0</v>
      </c>
      <c r="BV291" s="156">
        <f ca="1">(R291=0)*MAX(0,(B291+C291+IF(ISERROR(N_NachtStufe),0,D291*OFFSET(Vorgabewerte!E$10:E$14,N_NachtStufe,0,1,1)))-(1-BU291)*N_ArbeitsstundenSollProKT)</f>
        <v>0</v>
      </c>
      <c r="BW291" s="156"/>
      <c r="BX291" s="156">
        <f ca="1">(AE291=5)*('  B  '!F$110=1)*(1-'  B  '!F$113+(AY291*'  B  '!F$114))*(G291*IF(N_ArbeitsstundenSollProKT&gt;0,N_Monatslohn/(P$2*N_ArbeitsstundenSollProKT),0))</f>
        <v>0</v>
      </c>
      <c r="BY291" s="156">
        <f ca="1">((BE291&gt;0)*(1-'  B  '!F$105)+(BE291&gt;'  B  '!F$104)*'  B  '!F$106)*(G291*IF(N_ArbeitsstundenSollProKT&gt;0,N_Monatslohn/(P$2*N_ArbeitsstundenSollProKT),0))</f>
        <v>0</v>
      </c>
      <c r="BZ291" s="156">
        <f t="shared" ca="1" si="99"/>
        <v>0</v>
      </c>
      <c r="CA291" s="156">
        <f t="shared" ca="1" si="100"/>
        <v>0</v>
      </c>
      <c r="CB291" s="156"/>
      <c r="CC291" s="156">
        <f ca="1">(AE291=5)*('  B  '!F$113-(AY291*'  B  '!F$114))*G291*CF$260</f>
        <v>0</v>
      </c>
      <c r="CD291" s="156">
        <f ca="1">((BE291&gt;0)*'  B  '!F$105-(BE291&gt;N_Wartefrist_Unfall)*'  B  '!F$106)*(G291*CF$260)</f>
        <v>0</v>
      </c>
      <c r="CE291" s="156">
        <f ca="1">OR(AE291&lt;5,AE291&gt;6)*G291*OFFSET(Vorgabewerte!C$56,AE291,0,1,1)*CF$260</f>
        <v>0</v>
      </c>
      <c r="CF291" s="156">
        <f t="shared" ca="1" si="101"/>
        <v>0</v>
      </c>
      <c r="CH291" s="270">
        <f ca="1">(AY291=1)*'  B  '!F$114*G291*(N_BruttoStundenSatz_Monatslohn+CF$260)</f>
        <v>0</v>
      </c>
      <c r="CI291" s="270">
        <f ca="1">(BE291&gt;N_Wartefrist_Unfall)*'  B  '!F$106*G291*(N_BruttoStundenSatz_Monatslohn+CF$260)</f>
        <v>0</v>
      </c>
      <c r="CJ291" s="270">
        <f ca="1">IF(VLOOKUP('  B  '!C$65,A_JaNein_Auswahl,2,0)=1,(CH291+CI291)/12,0)</f>
        <v>0</v>
      </c>
      <c r="CK291" s="284">
        <f t="shared" ca="1" si="102"/>
        <v>0</v>
      </c>
      <c r="CL291" s="270">
        <f t="shared" ca="1" si="103"/>
        <v>0</v>
      </c>
      <c r="CM291" s="265">
        <f t="shared" ca="1" si="104"/>
        <v>0</v>
      </c>
      <c r="CO291" s="222"/>
      <c r="CP291" s="137">
        <v>0</v>
      </c>
      <c r="CQ291" s="137">
        <v>0</v>
      </c>
      <c r="CR291" s="137">
        <v>0</v>
      </c>
      <c r="CS291" s="137">
        <f t="shared" ca="1" si="105"/>
        <v>0</v>
      </c>
      <c r="CT291" s="137">
        <f t="shared" ca="1" si="106"/>
        <v>0</v>
      </c>
      <c r="CU291" s="137">
        <f t="shared" ca="1" si="107"/>
        <v>0</v>
      </c>
      <c r="CV291" s="137">
        <v>0</v>
      </c>
      <c r="CW291" s="137">
        <f t="shared" ca="1" si="108"/>
        <v>0</v>
      </c>
      <c r="CX291" s="137">
        <v>0</v>
      </c>
      <c r="CY291" s="224">
        <f t="shared" ca="1" si="109"/>
        <v>0</v>
      </c>
      <c r="DA291" s="260">
        <f ca="1">(AE291=4)*I291*OFFSET(Vorgabewerte!D$56,AE291,0,1,1)*DB$259</f>
        <v>0</v>
      </c>
      <c r="DB291" s="379">
        <f ca="1">(AE291=5)*IF('  B  '!F$110=1,IF(NOT(AY291=1),I291*'  B  '!F$113*MIN(DB$259,DB$260),I291*MAX(0,OFFSET(Vorgabewerte!D$56,AE291,0,1,1)-'  B  '!F$114)*MIN(DB$259,DB$260)),I291*OFFSET(Vorgabewerte!D$56,AE291,0,1,1)*MIN(DB$259,DB$260))</f>
        <v>0</v>
      </c>
      <c r="DC291" s="379">
        <f ca="1">(AE291=6)*IF(NOT(BE291&gt;N_Wartefrist_Unfall),I291*'  B  '!F$105*MIN(DB$259,DB$260),I291*MAX(0,OFFSET(Vorgabewerte!D$56,AE291,0,1,1)-'  B  '!F$106)*MIN(DB$259,DB$260))</f>
        <v>0</v>
      </c>
      <c r="DD291" s="255">
        <f ca="1">NOT(OR(AE291=4,AE291=5,AE291=6))*I291*OFFSET(Vorgabewerte!D$56,AE291,0,1,1)*MIN(DB$259,DB$260)</f>
        <v>0</v>
      </c>
      <c r="DE291" s="278">
        <f t="shared" ca="1" si="110"/>
        <v>0</v>
      </c>
      <c r="DF291" s="279">
        <f t="shared" ca="1" si="111"/>
        <v>0</v>
      </c>
      <c r="DG291" s="280">
        <f t="shared" ca="1" si="112"/>
        <v>0</v>
      </c>
      <c r="DI291" s="260">
        <f ca="1">(AE291=4)*I291*OFFSET(Vorgabewerte!D$56,AE291,0,1,1)*DJ$260</f>
        <v>0</v>
      </c>
      <c r="DJ291" s="379">
        <f ca="1">(AE291=5)*IF('  B  '!F$110=1,IF(NOT(AY291=1),I291*'  B  '!F$113*DJ$260,I291*MAX(0,OFFSET(Vorgabewerte!D$56,AE291,0,1,1)-'  B  '!F$114)*DJ$260),I291*OFFSET(Vorgabewerte!D$56,AE291,0,1,1)*DJ$260)</f>
        <v>0</v>
      </c>
      <c r="DK291" s="379">
        <f ca="1">(AE291=6)*IF(NOT(BE291&gt;N_Wartefrist_Unfall),I291*'  B  '!F$105*DJ$260,I291*MAX(0,OFFSET(Vorgabewerte!D$56,AE291,0,1,1)-'  B  '!F$106)*DJ$260)</f>
        <v>0</v>
      </c>
      <c r="DL291" s="255">
        <f ca="1">NOT(OR(AM291=4,AM291=5,AM291=6))*Q291*OFFSET(Vorgabewerte!L$56,AM291,0,1,1)*DJ$260</f>
        <v>0</v>
      </c>
      <c r="DM291" s="674">
        <f t="shared" ca="1" si="115"/>
        <v>0</v>
      </c>
      <c r="DN291" s="279">
        <f t="shared" ca="1" si="116"/>
        <v>0</v>
      </c>
      <c r="DO291" s="279">
        <f t="shared" ca="1" si="117"/>
        <v>0</v>
      </c>
    </row>
    <row r="292" spans="1:119" x14ac:dyDescent="0.25">
      <c r="A292" s="153">
        <f t="shared" si="113"/>
        <v>45502</v>
      </c>
      <c r="B292" s="154"/>
      <c r="C292" s="154"/>
      <c r="D292" s="154"/>
      <c r="E292" s="875" t="str">
        <f t="shared" ca="1" si="57"/>
        <v/>
      </c>
      <c r="F292" s="876"/>
      <c r="G292" s="667">
        <f t="shared" ca="1" si="114"/>
        <v>0</v>
      </c>
      <c r="H292" s="667">
        <f t="shared" ca="1" si="58"/>
        <v>0</v>
      </c>
      <c r="I292" s="667">
        <f t="shared" ca="1" si="59"/>
        <v>0</v>
      </c>
      <c r="P292" s="151">
        <f t="shared" si="60"/>
        <v>125</v>
      </c>
      <c r="R292" s="55">
        <f t="shared" si="61"/>
        <v>0</v>
      </c>
      <c r="S292" s="55">
        <f t="shared" si="62"/>
        <v>1</v>
      </c>
      <c r="U292" s="226">
        <f t="shared" si="63"/>
        <v>0</v>
      </c>
      <c r="V292" s="137">
        <f t="shared" ca="1" si="64"/>
        <v>0</v>
      </c>
      <c r="W292" s="137">
        <f t="shared" si="65"/>
        <v>0</v>
      </c>
      <c r="X292" s="137">
        <f t="shared" si="66"/>
        <v>0</v>
      </c>
      <c r="Y292" s="137">
        <f t="shared" ca="1" si="67"/>
        <v>0</v>
      </c>
      <c r="Z292" s="137">
        <f t="shared" ca="1" si="68"/>
        <v>0</v>
      </c>
      <c r="AA292" s="137">
        <f t="shared" ca="1" si="69"/>
        <v>0</v>
      </c>
      <c r="AB292" s="137">
        <f t="shared" ca="1" si="70"/>
        <v>0</v>
      </c>
      <c r="AC292" s="137">
        <f t="shared" ca="1" si="71"/>
        <v>0</v>
      </c>
      <c r="AD292" s="137">
        <f t="shared" ca="1" si="72"/>
        <v>0</v>
      </c>
      <c r="AE292" s="223">
        <f t="shared" ca="1" si="73"/>
        <v>0</v>
      </c>
      <c r="AF292" s="229" t="str">
        <f t="shared" ca="1" si="74"/>
        <v/>
      </c>
      <c r="AH292" s="235">
        <f t="shared" si="75"/>
        <v>45502</v>
      </c>
      <c r="AI292" s="137">
        <f t="shared" ca="1" si="76"/>
        <v>0</v>
      </c>
      <c r="AJ292" s="137">
        <f t="shared" si="77"/>
        <v>0</v>
      </c>
      <c r="AK292" s="137">
        <f t="shared" ca="1" si="78"/>
        <v>0</v>
      </c>
      <c r="AL292" s="137">
        <f t="shared" ca="1" si="79"/>
        <v>0</v>
      </c>
      <c r="AM292" s="137">
        <f t="shared" si="80"/>
        <v>0</v>
      </c>
      <c r="AN292" s="137">
        <f t="shared" ca="1" si="81"/>
        <v>0</v>
      </c>
      <c r="AO292" s="137">
        <f t="shared" ca="1" si="82"/>
        <v>0</v>
      </c>
      <c r="AP292" s="137">
        <f t="shared" ca="1" si="83"/>
        <v>0</v>
      </c>
      <c r="AQ292" s="137">
        <f t="shared" si="84"/>
        <v>0</v>
      </c>
      <c r="AR292" s="236">
        <f t="shared" ca="1" si="85"/>
        <v>0</v>
      </c>
      <c r="AT292" s="241">
        <f t="shared" ca="1" si="86"/>
        <v>28</v>
      </c>
      <c r="AV292" s="222">
        <f t="shared" ca="1" si="87"/>
        <v>0</v>
      </c>
      <c r="AW292" s="247">
        <f t="shared" si="88"/>
        <v>91</v>
      </c>
      <c r="AY292" s="239">
        <f ca="1">(AE292=5)*('  B  '!F$110=1)*OR(AND(AND(A292&gt;=S$220,A292&gt;=I$214),AND(A292&lt;=S$221,A292&lt;=I$215)),AND(AND(A292&gt;=S$230,A292&gt;=I$224),AND(A292&lt;=S$231,A292&lt;=I$225)),AND(AND(A292&gt;=S$240,A292&gt;=I$234),AND(A292&lt;=S$241,A292&lt;=I$235)))</f>
        <v>0</v>
      </c>
      <c r="BA292" s="222">
        <f t="shared" ca="1" si="89"/>
        <v>0</v>
      </c>
      <c r="BB292" s="55">
        <f t="shared" ca="1" si="90"/>
        <v>0</v>
      </c>
      <c r="BC292" s="247">
        <f t="shared" si="91"/>
        <v>184</v>
      </c>
      <c r="BE292" s="239">
        <f t="shared" ca="1" si="92"/>
        <v>0</v>
      </c>
      <c r="BG292" s="239">
        <f t="shared" ca="1" si="93"/>
        <v>0</v>
      </c>
      <c r="BI292" s="222"/>
      <c r="BJ292" s="137">
        <v>0</v>
      </c>
      <c r="BK292" s="137">
        <v>0</v>
      </c>
      <c r="BL292" s="137">
        <f t="shared" ca="1" si="94"/>
        <v>1</v>
      </c>
      <c r="BM292" s="137">
        <f t="shared" ca="1" si="95"/>
        <v>1</v>
      </c>
      <c r="BN292" s="137">
        <f ca="1">(A292&gt;=N_LFP_Startdatum)*IF('  B  '!F$110=1,NOT(OR(A292&gt;S$221,A292&gt;S$231,A292&gt;S$241)),IF(BB292&gt;BC292,0,1))</f>
        <v>1</v>
      </c>
      <c r="BO292" s="137">
        <f t="shared" ca="1" si="96"/>
        <v>1</v>
      </c>
      <c r="BP292" s="137">
        <v>0</v>
      </c>
      <c r="BQ292" s="137">
        <f t="shared" ca="1" si="97"/>
        <v>1</v>
      </c>
      <c r="BR292" s="653">
        <v>0</v>
      </c>
      <c r="BS292" s="224">
        <f ca="1">(A292&gt;=N_LFP_Startdatum)*IF('  B  '!F$110=1,NOT(OR(A292&gt;S$221,A292&gt;S$231,A292&gt;S$241)),IF(BB292&gt;BC292,0,1))</f>
        <v>1</v>
      </c>
      <c r="BU292" s="562">
        <f t="shared" ca="1" si="98"/>
        <v>0</v>
      </c>
      <c r="BV292" s="156">
        <f ca="1">(R292=0)*MAX(0,(B292+C292+IF(ISERROR(N_NachtStufe),0,D292*OFFSET(Vorgabewerte!E$10:E$14,N_NachtStufe,0,1,1)))-(1-BU292)*N_ArbeitsstundenSollProKT)</f>
        <v>0</v>
      </c>
      <c r="BW292" s="156"/>
      <c r="BX292" s="156">
        <f ca="1">(AE292=5)*('  B  '!F$110=1)*(1-'  B  '!F$113+(AY292*'  B  '!F$114))*(G292*IF(N_ArbeitsstundenSollProKT&gt;0,N_Monatslohn/(P$2*N_ArbeitsstundenSollProKT),0))</f>
        <v>0</v>
      </c>
      <c r="BY292" s="156">
        <f ca="1">((BE292&gt;0)*(1-'  B  '!F$105)+(BE292&gt;'  B  '!F$104)*'  B  '!F$106)*(G292*IF(N_ArbeitsstundenSollProKT&gt;0,N_Monatslohn/(P$2*N_ArbeitsstundenSollProKT),0))</f>
        <v>0</v>
      </c>
      <c r="BZ292" s="156">
        <f t="shared" ca="1" si="99"/>
        <v>0</v>
      </c>
      <c r="CA292" s="156">
        <f t="shared" ca="1" si="100"/>
        <v>0</v>
      </c>
      <c r="CB292" s="156"/>
      <c r="CC292" s="156">
        <f ca="1">(AE292=5)*('  B  '!F$113-(AY292*'  B  '!F$114))*G292*CF$260</f>
        <v>0</v>
      </c>
      <c r="CD292" s="156">
        <f ca="1">((BE292&gt;0)*'  B  '!F$105-(BE292&gt;N_Wartefrist_Unfall)*'  B  '!F$106)*(G292*CF$260)</f>
        <v>0</v>
      </c>
      <c r="CE292" s="156">
        <f ca="1">OR(AE292&lt;5,AE292&gt;6)*G292*OFFSET(Vorgabewerte!C$56,AE292,0,1,1)*CF$260</f>
        <v>0</v>
      </c>
      <c r="CF292" s="156">
        <f t="shared" ca="1" si="101"/>
        <v>0</v>
      </c>
      <c r="CH292" s="270">
        <f ca="1">(AY292=1)*'  B  '!F$114*G292*(N_BruttoStundenSatz_Monatslohn+CF$260)</f>
        <v>0</v>
      </c>
      <c r="CI292" s="270">
        <f ca="1">(BE292&gt;N_Wartefrist_Unfall)*'  B  '!F$106*G292*(N_BruttoStundenSatz_Monatslohn+CF$260)</f>
        <v>0</v>
      </c>
      <c r="CJ292" s="270">
        <f ca="1">IF(VLOOKUP('  B  '!C$65,A_JaNein_Auswahl,2,0)=1,(CH292+CI292)/12,0)</f>
        <v>0</v>
      </c>
      <c r="CK292" s="284">
        <f t="shared" ca="1" si="102"/>
        <v>0</v>
      </c>
      <c r="CL292" s="270">
        <f t="shared" ca="1" si="103"/>
        <v>0</v>
      </c>
      <c r="CM292" s="265">
        <f t="shared" ca="1" si="104"/>
        <v>0</v>
      </c>
      <c r="CO292" s="222"/>
      <c r="CP292" s="137">
        <v>0</v>
      </c>
      <c r="CQ292" s="137">
        <v>0</v>
      </c>
      <c r="CR292" s="137">
        <v>0</v>
      </c>
      <c r="CS292" s="137">
        <f t="shared" ca="1" si="105"/>
        <v>0</v>
      </c>
      <c r="CT292" s="137">
        <f t="shared" ca="1" si="106"/>
        <v>0</v>
      </c>
      <c r="CU292" s="137">
        <f t="shared" ca="1" si="107"/>
        <v>0</v>
      </c>
      <c r="CV292" s="137">
        <v>0</v>
      </c>
      <c r="CW292" s="137">
        <f t="shared" ca="1" si="108"/>
        <v>0</v>
      </c>
      <c r="CX292" s="137">
        <v>0</v>
      </c>
      <c r="CY292" s="224">
        <f t="shared" ca="1" si="109"/>
        <v>0</v>
      </c>
      <c r="DA292" s="260">
        <f ca="1">(AE292=4)*I292*OFFSET(Vorgabewerte!D$56,AE292,0,1,1)*DB$259</f>
        <v>0</v>
      </c>
      <c r="DB292" s="379">
        <f ca="1">(AE292=5)*IF('  B  '!F$110=1,IF(NOT(AY292=1),I292*'  B  '!F$113*MIN(DB$259,DB$260),I292*MAX(0,OFFSET(Vorgabewerte!D$56,AE292,0,1,1)-'  B  '!F$114)*MIN(DB$259,DB$260)),I292*OFFSET(Vorgabewerte!D$56,AE292,0,1,1)*MIN(DB$259,DB$260))</f>
        <v>0</v>
      </c>
      <c r="DC292" s="379">
        <f ca="1">(AE292=6)*IF(NOT(BE292&gt;N_Wartefrist_Unfall),I292*'  B  '!F$105*MIN(DB$259,DB$260),I292*MAX(0,OFFSET(Vorgabewerte!D$56,AE292,0,1,1)-'  B  '!F$106)*MIN(DB$259,DB$260))</f>
        <v>0</v>
      </c>
      <c r="DD292" s="255">
        <f ca="1">NOT(OR(AE292=4,AE292=5,AE292=6))*I292*OFFSET(Vorgabewerte!D$56,AE292,0,1,1)*MIN(DB$259,DB$260)</f>
        <v>0</v>
      </c>
      <c r="DE292" s="278">
        <f t="shared" ca="1" si="110"/>
        <v>0</v>
      </c>
      <c r="DF292" s="279">
        <f t="shared" ca="1" si="111"/>
        <v>0</v>
      </c>
      <c r="DG292" s="280">
        <f t="shared" ca="1" si="112"/>
        <v>0</v>
      </c>
      <c r="DI292" s="260">
        <f ca="1">(AE292=4)*I292*OFFSET(Vorgabewerte!D$56,AE292,0,1,1)*DJ$260</f>
        <v>0</v>
      </c>
      <c r="DJ292" s="379">
        <f ca="1">(AE292=5)*IF('  B  '!F$110=1,IF(NOT(AY292=1),I292*'  B  '!F$113*DJ$260,I292*MAX(0,OFFSET(Vorgabewerte!D$56,AE292,0,1,1)-'  B  '!F$114)*DJ$260),I292*OFFSET(Vorgabewerte!D$56,AE292,0,1,1)*DJ$260)</f>
        <v>0</v>
      </c>
      <c r="DK292" s="379">
        <f ca="1">(AE292=6)*IF(NOT(BE292&gt;N_Wartefrist_Unfall),I292*'  B  '!F$105*DJ$260,I292*MAX(0,OFFSET(Vorgabewerte!D$56,AE292,0,1,1)-'  B  '!F$106)*DJ$260)</f>
        <v>0</v>
      </c>
      <c r="DL292" s="255">
        <f ca="1">NOT(OR(AM292=4,AM292=5,AM292=6))*Q292*OFFSET(Vorgabewerte!L$56,AM292,0,1,1)*DJ$260</f>
        <v>0</v>
      </c>
      <c r="DM292" s="674">
        <f t="shared" ca="1" si="115"/>
        <v>0</v>
      </c>
      <c r="DN292" s="279">
        <f t="shared" ca="1" si="116"/>
        <v>0</v>
      </c>
      <c r="DO292" s="279">
        <f t="shared" ca="1" si="117"/>
        <v>0</v>
      </c>
    </row>
    <row r="293" spans="1:119" x14ac:dyDescent="0.25">
      <c r="A293" s="153">
        <f t="shared" si="113"/>
        <v>45503</v>
      </c>
      <c r="B293" s="154"/>
      <c r="C293" s="154"/>
      <c r="D293" s="154"/>
      <c r="E293" s="875" t="str">
        <f t="shared" ca="1" si="57"/>
        <v/>
      </c>
      <c r="F293" s="876"/>
      <c r="G293" s="667">
        <f t="shared" ca="1" si="114"/>
        <v>0</v>
      </c>
      <c r="H293" s="667">
        <f t="shared" ca="1" si="58"/>
        <v>0</v>
      </c>
      <c r="I293" s="667">
        <f t="shared" ca="1" si="59"/>
        <v>0</v>
      </c>
      <c r="P293" s="151">
        <f t="shared" si="60"/>
        <v>125</v>
      </c>
      <c r="R293" s="55">
        <f t="shared" si="61"/>
        <v>0</v>
      </c>
      <c r="S293" s="55">
        <f t="shared" si="62"/>
        <v>1</v>
      </c>
      <c r="U293" s="226">
        <f t="shared" si="63"/>
        <v>0</v>
      </c>
      <c r="V293" s="137">
        <f t="shared" ca="1" si="64"/>
        <v>0</v>
      </c>
      <c r="W293" s="137">
        <f t="shared" si="65"/>
        <v>0</v>
      </c>
      <c r="X293" s="137">
        <f t="shared" si="66"/>
        <v>0</v>
      </c>
      <c r="Y293" s="137">
        <f t="shared" ca="1" si="67"/>
        <v>0</v>
      </c>
      <c r="Z293" s="137">
        <f t="shared" ca="1" si="68"/>
        <v>0</v>
      </c>
      <c r="AA293" s="137">
        <f t="shared" ca="1" si="69"/>
        <v>0</v>
      </c>
      <c r="AB293" s="137">
        <f t="shared" ca="1" si="70"/>
        <v>0</v>
      </c>
      <c r="AC293" s="137">
        <f t="shared" ca="1" si="71"/>
        <v>0</v>
      </c>
      <c r="AD293" s="137">
        <f t="shared" ca="1" si="72"/>
        <v>0</v>
      </c>
      <c r="AE293" s="223">
        <f t="shared" ca="1" si="73"/>
        <v>0</v>
      </c>
      <c r="AF293" s="229" t="str">
        <f t="shared" ca="1" si="74"/>
        <v/>
      </c>
      <c r="AH293" s="235">
        <f t="shared" si="75"/>
        <v>45503</v>
      </c>
      <c r="AI293" s="137">
        <f t="shared" ca="1" si="76"/>
        <v>0</v>
      </c>
      <c r="AJ293" s="137">
        <f t="shared" si="77"/>
        <v>0</v>
      </c>
      <c r="AK293" s="137">
        <f t="shared" ca="1" si="78"/>
        <v>0</v>
      </c>
      <c r="AL293" s="137">
        <f t="shared" ca="1" si="79"/>
        <v>0</v>
      </c>
      <c r="AM293" s="137">
        <f t="shared" si="80"/>
        <v>0</v>
      </c>
      <c r="AN293" s="137">
        <f t="shared" ca="1" si="81"/>
        <v>0</v>
      </c>
      <c r="AO293" s="137">
        <f t="shared" ca="1" si="82"/>
        <v>0</v>
      </c>
      <c r="AP293" s="137">
        <f t="shared" ca="1" si="83"/>
        <v>0</v>
      </c>
      <c r="AQ293" s="137">
        <f t="shared" si="84"/>
        <v>0</v>
      </c>
      <c r="AR293" s="236">
        <f t="shared" ca="1" si="85"/>
        <v>0</v>
      </c>
      <c r="AT293" s="241">
        <f t="shared" ca="1" si="86"/>
        <v>28</v>
      </c>
      <c r="AV293" s="222">
        <f t="shared" ca="1" si="87"/>
        <v>0</v>
      </c>
      <c r="AW293" s="247">
        <f t="shared" si="88"/>
        <v>91</v>
      </c>
      <c r="AY293" s="239">
        <f ca="1">(AE293=5)*('  B  '!F$110=1)*OR(AND(AND(A293&gt;=S$220,A293&gt;=I$214),AND(A293&lt;=S$221,A293&lt;=I$215)),AND(AND(A293&gt;=S$230,A293&gt;=I$224),AND(A293&lt;=S$231,A293&lt;=I$225)),AND(AND(A293&gt;=S$240,A293&gt;=I$234),AND(A293&lt;=S$241,A293&lt;=I$235)))</f>
        <v>0</v>
      </c>
      <c r="BA293" s="222">
        <f t="shared" ca="1" si="89"/>
        <v>0</v>
      </c>
      <c r="BB293" s="55">
        <f t="shared" ca="1" si="90"/>
        <v>0</v>
      </c>
      <c r="BC293" s="247">
        <f t="shared" si="91"/>
        <v>184</v>
      </c>
      <c r="BE293" s="239">
        <f t="shared" ca="1" si="92"/>
        <v>0</v>
      </c>
      <c r="BG293" s="239">
        <f t="shared" ca="1" si="93"/>
        <v>0</v>
      </c>
      <c r="BI293" s="222"/>
      <c r="BJ293" s="137">
        <v>0</v>
      </c>
      <c r="BK293" s="137">
        <v>0</v>
      </c>
      <c r="BL293" s="137">
        <f t="shared" ca="1" si="94"/>
        <v>1</v>
      </c>
      <c r="BM293" s="137">
        <f t="shared" ca="1" si="95"/>
        <v>1</v>
      </c>
      <c r="BN293" s="137">
        <f ca="1">(A293&gt;=N_LFP_Startdatum)*IF('  B  '!F$110=1,NOT(OR(A293&gt;S$221,A293&gt;S$231,A293&gt;S$241)),IF(BB293&gt;BC293,0,1))</f>
        <v>1</v>
      </c>
      <c r="BO293" s="137">
        <f t="shared" ca="1" si="96"/>
        <v>1</v>
      </c>
      <c r="BP293" s="137">
        <v>0</v>
      </c>
      <c r="BQ293" s="137">
        <f t="shared" ca="1" si="97"/>
        <v>1</v>
      </c>
      <c r="BR293" s="653">
        <v>0</v>
      </c>
      <c r="BS293" s="224">
        <f ca="1">(A293&gt;=N_LFP_Startdatum)*IF('  B  '!F$110=1,NOT(OR(A293&gt;S$221,A293&gt;S$231,A293&gt;S$241)),IF(BB293&gt;BC293,0,1))</f>
        <v>1</v>
      </c>
      <c r="BU293" s="562">
        <f t="shared" ca="1" si="98"/>
        <v>0</v>
      </c>
      <c r="BV293" s="156">
        <f ca="1">(R293=0)*MAX(0,(B293+C293+IF(ISERROR(N_NachtStufe),0,D293*OFFSET(Vorgabewerte!E$10:E$14,N_NachtStufe,0,1,1)))-(1-BU293)*N_ArbeitsstundenSollProKT)</f>
        <v>0</v>
      </c>
      <c r="BW293" s="156"/>
      <c r="BX293" s="156">
        <f ca="1">(AE293=5)*('  B  '!F$110=1)*(1-'  B  '!F$113+(AY293*'  B  '!F$114))*(G293*IF(N_ArbeitsstundenSollProKT&gt;0,N_Monatslohn/(P$2*N_ArbeitsstundenSollProKT),0))</f>
        <v>0</v>
      </c>
      <c r="BY293" s="156">
        <f ca="1">((BE293&gt;0)*(1-'  B  '!F$105)+(BE293&gt;'  B  '!F$104)*'  B  '!F$106)*(G293*IF(N_ArbeitsstundenSollProKT&gt;0,N_Monatslohn/(P$2*N_ArbeitsstundenSollProKT),0))</f>
        <v>0</v>
      </c>
      <c r="BZ293" s="156">
        <f t="shared" ca="1" si="99"/>
        <v>0</v>
      </c>
      <c r="CA293" s="156">
        <f t="shared" ca="1" si="100"/>
        <v>0</v>
      </c>
      <c r="CB293" s="156"/>
      <c r="CC293" s="156">
        <f ca="1">(AE293=5)*('  B  '!F$113-(AY293*'  B  '!F$114))*G293*CF$260</f>
        <v>0</v>
      </c>
      <c r="CD293" s="156">
        <f ca="1">((BE293&gt;0)*'  B  '!F$105-(BE293&gt;N_Wartefrist_Unfall)*'  B  '!F$106)*(G293*CF$260)</f>
        <v>0</v>
      </c>
      <c r="CE293" s="156">
        <f ca="1">OR(AE293&lt;5,AE293&gt;6)*G293*OFFSET(Vorgabewerte!C$56,AE293,0,1,1)*CF$260</f>
        <v>0</v>
      </c>
      <c r="CF293" s="156">
        <f t="shared" ca="1" si="101"/>
        <v>0</v>
      </c>
      <c r="CH293" s="270">
        <f ca="1">(AY293=1)*'  B  '!F$114*G293*(N_BruttoStundenSatz_Monatslohn+CF$260)</f>
        <v>0</v>
      </c>
      <c r="CI293" s="270">
        <f ca="1">(BE293&gt;N_Wartefrist_Unfall)*'  B  '!F$106*G293*(N_BruttoStundenSatz_Monatslohn+CF$260)</f>
        <v>0</v>
      </c>
      <c r="CJ293" s="270">
        <f ca="1">IF(VLOOKUP('  B  '!C$65,A_JaNein_Auswahl,2,0)=1,(CH293+CI293)/12,0)</f>
        <v>0</v>
      </c>
      <c r="CK293" s="284">
        <f t="shared" ca="1" si="102"/>
        <v>0</v>
      </c>
      <c r="CL293" s="270">
        <f t="shared" ca="1" si="103"/>
        <v>0</v>
      </c>
      <c r="CM293" s="265">
        <f t="shared" ca="1" si="104"/>
        <v>0</v>
      </c>
      <c r="CO293" s="222"/>
      <c r="CP293" s="137">
        <v>0</v>
      </c>
      <c r="CQ293" s="137">
        <v>0</v>
      </c>
      <c r="CR293" s="137">
        <v>0</v>
      </c>
      <c r="CS293" s="137">
        <f t="shared" ca="1" si="105"/>
        <v>0</v>
      </c>
      <c r="CT293" s="137">
        <f t="shared" ca="1" si="106"/>
        <v>0</v>
      </c>
      <c r="CU293" s="137">
        <f t="shared" ca="1" si="107"/>
        <v>0</v>
      </c>
      <c r="CV293" s="137">
        <v>0</v>
      </c>
      <c r="CW293" s="137">
        <f t="shared" ca="1" si="108"/>
        <v>0</v>
      </c>
      <c r="CX293" s="137">
        <v>0</v>
      </c>
      <c r="CY293" s="224">
        <f t="shared" ca="1" si="109"/>
        <v>0</v>
      </c>
      <c r="DA293" s="260">
        <f ca="1">(AE293=4)*I293*OFFSET(Vorgabewerte!D$56,AE293,0,1,1)*DB$259</f>
        <v>0</v>
      </c>
      <c r="DB293" s="379">
        <f ca="1">(AE293=5)*IF('  B  '!F$110=1,IF(NOT(AY293=1),I293*'  B  '!F$113*MIN(DB$259,DB$260),I293*MAX(0,OFFSET(Vorgabewerte!D$56,AE293,0,1,1)-'  B  '!F$114)*MIN(DB$259,DB$260)),I293*OFFSET(Vorgabewerte!D$56,AE293,0,1,1)*MIN(DB$259,DB$260))</f>
        <v>0</v>
      </c>
      <c r="DC293" s="379">
        <f ca="1">(AE293=6)*IF(NOT(BE293&gt;N_Wartefrist_Unfall),I293*'  B  '!F$105*MIN(DB$259,DB$260),I293*MAX(0,OFFSET(Vorgabewerte!D$56,AE293,0,1,1)-'  B  '!F$106)*MIN(DB$259,DB$260))</f>
        <v>0</v>
      </c>
      <c r="DD293" s="255">
        <f ca="1">NOT(OR(AE293=4,AE293=5,AE293=6))*I293*OFFSET(Vorgabewerte!D$56,AE293,0,1,1)*MIN(DB$259,DB$260)</f>
        <v>0</v>
      </c>
      <c r="DE293" s="278">
        <f t="shared" ca="1" si="110"/>
        <v>0</v>
      </c>
      <c r="DF293" s="279">
        <f t="shared" ca="1" si="111"/>
        <v>0</v>
      </c>
      <c r="DG293" s="280">
        <f t="shared" ca="1" si="112"/>
        <v>0</v>
      </c>
      <c r="DI293" s="260">
        <f ca="1">(AE293=4)*I293*OFFSET(Vorgabewerte!D$56,AE293,0,1,1)*DJ$260</f>
        <v>0</v>
      </c>
      <c r="DJ293" s="379">
        <f ca="1">(AE293=5)*IF('  B  '!F$110=1,IF(NOT(AY293=1),I293*'  B  '!F$113*DJ$260,I293*MAX(0,OFFSET(Vorgabewerte!D$56,AE293,0,1,1)-'  B  '!F$114)*DJ$260),I293*OFFSET(Vorgabewerte!D$56,AE293,0,1,1)*DJ$260)</f>
        <v>0</v>
      </c>
      <c r="DK293" s="379">
        <f ca="1">(AE293=6)*IF(NOT(BE293&gt;N_Wartefrist_Unfall),I293*'  B  '!F$105*DJ$260,I293*MAX(0,OFFSET(Vorgabewerte!D$56,AE293,0,1,1)-'  B  '!F$106)*DJ$260)</f>
        <v>0</v>
      </c>
      <c r="DL293" s="255">
        <f ca="1">NOT(OR(AM293=4,AM293=5,AM293=6))*Q293*OFFSET(Vorgabewerte!L$56,AM293,0,1,1)*DJ$260</f>
        <v>0</v>
      </c>
      <c r="DM293" s="674">
        <f t="shared" ca="1" si="115"/>
        <v>0</v>
      </c>
      <c r="DN293" s="279">
        <f t="shared" ca="1" si="116"/>
        <v>0</v>
      </c>
      <c r="DO293" s="279">
        <f t="shared" ca="1" si="117"/>
        <v>0</v>
      </c>
    </row>
    <row r="294" spans="1:119" x14ac:dyDescent="0.25">
      <c r="A294" s="153">
        <f t="shared" si="113"/>
        <v>45504</v>
      </c>
      <c r="B294" s="154"/>
      <c r="C294" s="154"/>
      <c r="D294" s="154"/>
      <c r="E294" s="875" t="str">
        <f t="shared" ca="1" si="57"/>
        <v/>
      </c>
      <c r="F294" s="876"/>
      <c r="G294" s="667">
        <f t="shared" ca="1" si="114"/>
        <v>0</v>
      </c>
      <c r="H294" s="667">
        <f t="shared" ca="1" si="58"/>
        <v>0</v>
      </c>
      <c r="I294" s="667">
        <f t="shared" ca="1" si="59"/>
        <v>0</v>
      </c>
      <c r="P294" s="151">
        <f t="shared" si="60"/>
        <v>125</v>
      </c>
      <c r="R294" s="55">
        <f t="shared" si="61"/>
        <v>0</v>
      </c>
      <c r="S294" s="55">
        <f t="shared" si="62"/>
        <v>1</v>
      </c>
      <c r="U294" s="227">
        <f t="shared" si="63"/>
        <v>0</v>
      </c>
      <c r="V294" s="225">
        <f t="shared" ca="1" si="64"/>
        <v>0</v>
      </c>
      <c r="W294" s="225">
        <f t="shared" si="65"/>
        <v>0</v>
      </c>
      <c r="X294" s="225">
        <f t="shared" si="66"/>
        <v>0</v>
      </c>
      <c r="Y294" s="225">
        <f t="shared" ca="1" si="67"/>
        <v>0</v>
      </c>
      <c r="Z294" s="225">
        <f t="shared" ca="1" si="68"/>
        <v>0</v>
      </c>
      <c r="AA294" s="225">
        <f t="shared" ca="1" si="69"/>
        <v>0</v>
      </c>
      <c r="AB294" s="225">
        <f t="shared" ca="1" si="70"/>
        <v>0</v>
      </c>
      <c r="AC294" s="225">
        <f t="shared" ca="1" si="71"/>
        <v>0</v>
      </c>
      <c r="AD294" s="225">
        <f t="shared" ca="1" si="72"/>
        <v>0</v>
      </c>
      <c r="AE294" s="228">
        <f t="shared" ca="1" si="73"/>
        <v>0</v>
      </c>
      <c r="AF294" s="229" t="str">
        <f t="shared" ca="1" si="74"/>
        <v/>
      </c>
      <c r="AH294" s="237">
        <f t="shared" si="75"/>
        <v>45504</v>
      </c>
      <c r="AI294" s="225">
        <f t="shared" ca="1" si="76"/>
        <v>0</v>
      </c>
      <c r="AJ294" s="225">
        <f t="shared" si="77"/>
        <v>0</v>
      </c>
      <c r="AK294" s="225">
        <f t="shared" ca="1" si="78"/>
        <v>0</v>
      </c>
      <c r="AL294" s="225">
        <f t="shared" ca="1" si="79"/>
        <v>0</v>
      </c>
      <c r="AM294" s="225">
        <f t="shared" si="80"/>
        <v>0</v>
      </c>
      <c r="AN294" s="137">
        <f t="shared" ca="1" si="81"/>
        <v>0</v>
      </c>
      <c r="AO294" s="225">
        <f t="shared" ca="1" si="82"/>
        <v>0</v>
      </c>
      <c r="AP294" s="225">
        <f t="shared" ca="1" si="83"/>
        <v>0</v>
      </c>
      <c r="AQ294" s="225">
        <f t="shared" si="84"/>
        <v>0</v>
      </c>
      <c r="AR294" s="238">
        <f t="shared" ca="1" si="85"/>
        <v>0</v>
      </c>
      <c r="AT294" s="242">
        <f t="shared" ca="1" si="86"/>
        <v>28</v>
      </c>
      <c r="AV294" s="215">
        <f t="shared" ca="1" si="87"/>
        <v>0</v>
      </c>
      <c r="AW294" s="248">
        <f t="shared" si="88"/>
        <v>91</v>
      </c>
      <c r="AY294" s="149">
        <f ca="1">(AE294=5)*('  B  '!F$110=1)*OR(AND(AND(A294&gt;=S$220,A294&gt;=I$214),AND(A294&lt;=S$221,A294&lt;=I$215)),AND(AND(A294&gt;=S$230,A294&gt;=I$224),AND(A294&lt;=S$231,A294&lt;=I$225)),AND(AND(A294&gt;=S$240,A294&gt;=I$234),AND(A294&lt;=S$241,A294&lt;=I$235)))</f>
        <v>0</v>
      </c>
      <c r="BA294" s="215">
        <f t="shared" ca="1" si="89"/>
        <v>0</v>
      </c>
      <c r="BB294" s="250">
        <f t="shared" ca="1" si="90"/>
        <v>0</v>
      </c>
      <c r="BC294" s="248">
        <f t="shared" si="91"/>
        <v>184</v>
      </c>
      <c r="BE294" s="149">
        <f t="shared" ca="1" si="92"/>
        <v>0</v>
      </c>
      <c r="BG294" s="149">
        <f t="shared" ca="1" si="93"/>
        <v>0</v>
      </c>
      <c r="BI294" s="215"/>
      <c r="BJ294" s="225">
        <v>0</v>
      </c>
      <c r="BK294" s="225">
        <v>0</v>
      </c>
      <c r="BL294" s="225">
        <f t="shared" ca="1" si="94"/>
        <v>1</v>
      </c>
      <c r="BM294" s="225">
        <f t="shared" ca="1" si="95"/>
        <v>1</v>
      </c>
      <c r="BN294" s="225">
        <f ca="1">(A294&gt;=N_LFP_Startdatum)*IF('  B  '!F$110=1,NOT(OR(A294&gt;S$221,A294&gt;S$231,A294&gt;S$241)),IF(BB294&gt;BC294,0,1))</f>
        <v>1</v>
      </c>
      <c r="BO294" s="225">
        <f t="shared" ca="1" si="96"/>
        <v>1</v>
      </c>
      <c r="BP294" s="225">
        <v>0</v>
      </c>
      <c r="BQ294" s="225">
        <f t="shared" ca="1" si="97"/>
        <v>1</v>
      </c>
      <c r="BR294" s="654">
        <v>0</v>
      </c>
      <c r="BS294" s="374">
        <f ca="1">(A294&gt;=N_LFP_Startdatum)*IF('  B  '!F$110=1,NOT(OR(A294&gt;S$221,A294&gt;S$231,A294&gt;S$241)),IF(BB294&gt;BC294,0,1))</f>
        <v>1</v>
      </c>
      <c r="BU294" s="563">
        <f t="shared" ca="1" si="98"/>
        <v>0</v>
      </c>
      <c r="BV294" s="257">
        <f ca="1">(R294=0)*MAX(0,(B294+C294+IF(ISERROR(N_NachtStufe),0,D294*OFFSET(Vorgabewerte!E$10:E$14,N_NachtStufe,0,1,1)))-(1-BU294)*N_ArbeitsstundenSollProKT)</f>
        <v>0</v>
      </c>
      <c r="BW294" s="257"/>
      <c r="BX294" s="257">
        <f ca="1">(AE294=5)*('  B  '!F$110=1)*(1-'  B  '!F$113+(AY294*'  B  '!F$114))*(G294*IF(N_ArbeitsstundenSollProKT&gt;0,N_Monatslohn/(P$2*N_ArbeitsstundenSollProKT),0))</f>
        <v>0</v>
      </c>
      <c r="BY294" s="257">
        <f ca="1">((BE294&gt;0)*(1-'  B  '!F$105)+(BE294&gt;'  B  '!F$104)*'  B  '!F$106)*(G294*IF(N_ArbeitsstundenSollProKT&gt;0,N_Monatslohn/(P$2*N_ArbeitsstundenSollProKT),0))</f>
        <v>0</v>
      </c>
      <c r="BZ294" s="257">
        <f t="shared" ca="1" si="99"/>
        <v>0</v>
      </c>
      <c r="CA294" s="257">
        <f t="shared" ca="1" si="100"/>
        <v>0</v>
      </c>
      <c r="CB294" s="257"/>
      <c r="CC294" s="257">
        <f ca="1">(AE294=5)*('  B  '!F$113-(AY294*'  B  '!F$114))*G294*CF$260</f>
        <v>0</v>
      </c>
      <c r="CD294" s="257">
        <f ca="1">((BE294&gt;0)*'  B  '!F$105-(BE294&gt;N_Wartefrist_Unfall)*'  B  '!F$106)*(G294*CF$260)</f>
        <v>0</v>
      </c>
      <c r="CE294" s="257">
        <f ca="1">OR(AE294&lt;5,AE294&gt;6)*G294*OFFSET(Vorgabewerte!C$56,AE294,0,1,1)*CF$260</f>
        <v>0</v>
      </c>
      <c r="CF294" s="257">
        <f t="shared" ca="1" si="101"/>
        <v>0</v>
      </c>
      <c r="CG294" s="250"/>
      <c r="CH294" s="271">
        <f ca="1">(AY294=1)*'  B  '!F$114*G294*(N_BruttoStundenSatz_Monatslohn+CF$260)</f>
        <v>0</v>
      </c>
      <c r="CI294" s="271">
        <f ca="1">(BE294&gt;N_Wartefrist_Unfall)*'  B  '!F$106*G294*(N_BruttoStundenSatz_Monatslohn+CF$260)</f>
        <v>0</v>
      </c>
      <c r="CJ294" s="271">
        <f ca="1">IF(VLOOKUP('  B  '!C$65,A_JaNein_Auswahl,2,0)=1,(CH294+CI294)/12,0)</f>
        <v>0</v>
      </c>
      <c r="CK294" s="285">
        <f t="shared" ca="1" si="102"/>
        <v>0</v>
      </c>
      <c r="CL294" s="271">
        <f t="shared" ca="1" si="103"/>
        <v>0</v>
      </c>
      <c r="CM294" s="269">
        <f t="shared" ca="1" si="104"/>
        <v>0</v>
      </c>
      <c r="CO294" s="215"/>
      <c r="CP294" s="225">
        <v>0</v>
      </c>
      <c r="CQ294" s="225">
        <v>0</v>
      </c>
      <c r="CR294" s="225">
        <v>0</v>
      </c>
      <c r="CS294" s="225">
        <f t="shared" ca="1" si="105"/>
        <v>0</v>
      </c>
      <c r="CT294" s="225">
        <f t="shared" ca="1" si="106"/>
        <v>0</v>
      </c>
      <c r="CU294" s="225">
        <f t="shared" ca="1" si="107"/>
        <v>0</v>
      </c>
      <c r="CV294" s="225">
        <v>0</v>
      </c>
      <c r="CW294" s="225">
        <f t="shared" ca="1" si="108"/>
        <v>0</v>
      </c>
      <c r="CX294" s="225">
        <v>0</v>
      </c>
      <c r="CY294" s="374">
        <f t="shared" ca="1" si="109"/>
        <v>0</v>
      </c>
      <c r="DA294" s="261">
        <f ca="1">(AE294=4)*I294*OFFSET(Vorgabewerte!D$56,AE294,0,1,1)*DB$259</f>
        <v>0</v>
      </c>
      <c r="DB294" s="380">
        <f ca="1">(AE294=5)*IF('  B  '!F$110=1,IF(NOT(AY294=1),I294*'  B  '!F$113*MIN(DB$259,DB$260),I294*MAX(0,OFFSET(Vorgabewerte!D$56,AE294,0,1,1)-'  B  '!F$114)*MIN(DB$259,DB$260)),I294*OFFSET(Vorgabewerte!D$56,AE294,0,1,1)*MIN(DB$259,DB$260))</f>
        <v>0</v>
      </c>
      <c r="DC294" s="380">
        <f ca="1">(AE294=6)*IF(NOT(BE294&gt;N_Wartefrist_Unfall),I294*'  B  '!F$105*MIN(DB$259,DB$260),I294*MAX(0,OFFSET(Vorgabewerte!D$56,AE294,0,1,1)-'  B  '!F$106)*MIN(DB$259,DB$260))</f>
        <v>0</v>
      </c>
      <c r="DD294" s="258">
        <f ca="1">NOT(OR(AE294=4,AE294=5,AE294=6))*I294*OFFSET(Vorgabewerte!D$56,AE294,0,1,1)*MIN(DB$259,DB$260)</f>
        <v>0</v>
      </c>
      <c r="DE294" s="281">
        <f t="shared" ca="1" si="110"/>
        <v>0</v>
      </c>
      <c r="DF294" s="282">
        <f t="shared" ca="1" si="111"/>
        <v>0</v>
      </c>
      <c r="DG294" s="283">
        <f t="shared" ca="1" si="112"/>
        <v>0</v>
      </c>
      <c r="DI294" s="260">
        <f ca="1">(AE294=4)*I294*OFFSET(Vorgabewerte!D$56,AE294,0,1,1)*DJ$260</f>
        <v>0</v>
      </c>
      <c r="DJ294" s="379">
        <f ca="1">(AE294=5)*IF('  B  '!F$110=1,IF(NOT(AY294=1),I294*'  B  '!F$113*DJ$260,I294*MAX(0,OFFSET(Vorgabewerte!D$56,AE294,0,1,1)-'  B  '!F$114)*DJ$260),I294*OFFSET(Vorgabewerte!D$56,AE294,0,1,1)*DJ$260)</f>
        <v>0</v>
      </c>
      <c r="DK294" s="379">
        <f ca="1">(AE294=6)*IF(NOT(BE294&gt;N_Wartefrist_Unfall),I294*'  B  '!F$105*DJ$260,I294*MAX(0,OFFSET(Vorgabewerte!D$56,AE294,0,1,1)-'  B  '!F$106)*DJ$260)</f>
        <v>0</v>
      </c>
      <c r="DL294" s="255">
        <f ca="1">NOT(OR(AM294=4,AM294=5,AM294=6))*Q294*OFFSET(Vorgabewerte!L$56,AM294,0,1,1)*DJ$260</f>
        <v>0</v>
      </c>
      <c r="DM294" s="674">
        <f t="shared" ca="1" si="115"/>
        <v>0</v>
      </c>
      <c r="DN294" s="279">
        <f t="shared" ca="1" si="116"/>
        <v>0</v>
      </c>
      <c r="DO294" s="279">
        <f t="shared" ca="1" si="117"/>
        <v>0</v>
      </c>
    </row>
    <row r="295" spans="1:119" x14ac:dyDescent="0.25">
      <c r="A295" s="55" t="str">
        <f ca="1">INDIRECT(ADDRESS(ROW()+N_Offset_M,COLUMN()+(N_SpracheAuswahl)*26,,,"Text"))</f>
        <v>Total:</v>
      </c>
      <c r="B295" s="155">
        <f>SUM(B264:B294)</f>
        <v>0</v>
      </c>
      <c r="C295" s="155">
        <f>SUM(C264:C294)</f>
        <v>0</v>
      </c>
      <c r="D295" s="155">
        <f>SUM(D264:D294)</f>
        <v>0</v>
      </c>
      <c r="G295" s="293">
        <f ca="1">SUM(G264:G294)</f>
        <v>0</v>
      </c>
      <c r="H295" s="293">
        <f ca="1">SUM(H264:H294)</f>
        <v>0</v>
      </c>
      <c r="I295" s="789">
        <f ca="1">SUM(I264:I294)</f>
        <v>0</v>
      </c>
      <c r="AH295" s="275" t="s">
        <v>637</v>
      </c>
      <c r="AI295" s="137"/>
      <c r="AK295" s="519">
        <f ca="1">AK294</f>
        <v>0</v>
      </c>
      <c r="AO295" s="55"/>
      <c r="AP295" s="519">
        <f ca="1">AP294</f>
        <v>0</v>
      </c>
      <c r="AR295" s="520">
        <f ca="1">AR294</f>
        <v>0</v>
      </c>
      <c r="AT295" s="521">
        <f ca="1">AT294</f>
        <v>28</v>
      </c>
      <c r="AV295" s="294">
        <f ca="1">AV294</f>
        <v>0</v>
      </c>
      <c r="BB295" s="294">
        <f ca="1">BB294</f>
        <v>0</v>
      </c>
      <c r="BE295" s="294">
        <f ca="1">BE294</f>
        <v>0</v>
      </c>
      <c r="BG295" s="294">
        <f ca="1">BG294</f>
        <v>0</v>
      </c>
      <c r="CA295" s="522">
        <f ca="1">SUM(CA264:CA294)</f>
        <v>0</v>
      </c>
      <c r="CB295" s="156"/>
      <c r="CC295" s="156"/>
      <c r="CD295" s="156"/>
      <c r="CE295" s="156"/>
      <c r="CF295" s="522">
        <f ca="1">SUM(CF264:CF294)-(N_Ferien_ArtAuszahlung_Auswahl=2)*SUMIF(AE264:AE294,3,CF264:CF294)</f>
        <v>0</v>
      </c>
      <c r="CH295" s="522">
        <f t="shared" ref="CH295:CM295" ca="1" si="118">SUM(CH264:CH294)</f>
        <v>0</v>
      </c>
      <c r="CI295" s="522">
        <f t="shared" ca="1" si="118"/>
        <v>0</v>
      </c>
      <c r="CJ295" s="522">
        <f t="shared" ca="1" si="118"/>
        <v>0</v>
      </c>
      <c r="CK295" s="522">
        <f t="shared" ca="1" si="118"/>
        <v>0</v>
      </c>
      <c r="CL295" s="522">
        <f t="shared" ca="1" si="118"/>
        <v>0</v>
      </c>
      <c r="CM295" s="522">
        <f t="shared" ca="1" si="118"/>
        <v>0</v>
      </c>
      <c r="DA295" s="522">
        <f ca="1">SUM(DA264:DA294)</f>
        <v>0</v>
      </c>
      <c r="DB295" s="156"/>
      <c r="DC295" s="156"/>
      <c r="DD295" s="156"/>
      <c r="DE295" s="523">
        <f ca="1">ROUND(SUM(DE264:DE294)*2,1)/2</f>
        <v>0</v>
      </c>
      <c r="DF295" s="523">
        <f ca="1">ROUND(SUM(DF264:DF294)*2,1)/2</f>
        <v>0</v>
      </c>
      <c r="DG295" s="523">
        <f ca="1">ROUND(SUM(DG264:DG294)*2,1)/2</f>
        <v>0</v>
      </c>
      <c r="DI295" s="522">
        <f ca="1">SUM(DI264:DI294)</f>
        <v>0</v>
      </c>
      <c r="DJ295" s="156"/>
      <c r="DK295" s="156"/>
      <c r="DL295" s="156"/>
      <c r="DM295" s="523">
        <f ca="1">ROUND(SUM(DM264:DM294)*2,1)/2</f>
        <v>0</v>
      </c>
      <c r="DN295" s="523">
        <f ca="1">ROUND(SUM(DN264:DN294)*2,1)/2</f>
        <v>0</v>
      </c>
      <c r="DO295" s="523">
        <f ca="1">ROUND(SUM(DO264:DO294)*2,1)/2</f>
        <v>0</v>
      </c>
    </row>
    <row r="296" spans="1:119" x14ac:dyDescent="0.25">
      <c r="B296" s="890">
        <f>B295+C295</f>
        <v>0</v>
      </c>
      <c r="C296" s="890"/>
      <c r="AI296" s="137"/>
      <c r="AK296" s="137"/>
      <c r="AO296" s="55"/>
      <c r="AP296" s="137"/>
      <c r="AR296" s="137"/>
      <c r="AT296" s="55"/>
      <c r="BZ296" s="55" t="s">
        <v>1425</v>
      </c>
      <c r="CA296" s="55">
        <f ca="1">IF(OR('  B  '!C59 ="Monatslohn",'  B  '!C59 ="Salaire mensuel"),0,(('  B  '!$C$61*$E$155)))</f>
        <v>0</v>
      </c>
      <c r="CE296" s="55" t="s">
        <v>1425</v>
      </c>
      <c r="CF296" s="55">
        <f ca="1">IF(OR('  B  '!C59 ="Monatslohn",'  B  '!C59 ="Salaire mensuel"),0,(('  B  '!$C$61*$E$155)))</f>
        <v>0</v>
      </c>
      <c r="CH296" s="840"/>
      <c r="CI296" s="840"/>
    </row>
    <row r="297" spans="1:119" x14ac:dyDescent="0.25">
      <c r="AK297" s="137"/>
      <c r="AQ297" s="63"/>
      <c r="AR297" s="137"/>
      <c r="BZ297" s="55" t="s">
        <v>1426</v>
      </c>
      <c r="CA297" s="55">
        <f ca="1">IF(OR('  B  '!C59 ="Monatslohn",'  B  '!C59 ="Salaire mensuel"),0,(('  B  '!C61*(F161+F172+F183))))</f>
        <v>0</v>
      </c>
      <c r="CE297" s="55" t="s">
        <v>1426</v>
      </c>
      <c r="CF297" s="55">
        <f ca="1">IF(OR('  B  '!C59 ="Monatslohn",'  B  '!C59 ="Salaire mensuel"),0,(('  B  '!C61*(F161+F172+F183))))</f>
        <v>0</v>
      </c>
      <c r="CH297" s="55">
        <f ca="1">IF(OR('  B  '!C59 ="Monatslohn",'  B  '!C59 ="Salaire mensuel"),0,(('  B  '!C61*(F161+F172+F183))))</f>
        <v>0</v>
      </c>
      <c r="CI297" s="55">
        <f ca="1">IF(OR('  B  '!C59 ="Monatslohn",'  B  '!C59 ="Salaire mensuel"),0,(('  B  '!C61*(F161+F172+F183))))</f>
        <v>0</v>
      </c>
    </row>
    <row r="298" spans="1:119" x14ac:dyDescent="0.25">
      <c r="A298" s="66" t="str">
        <f t="shared" ref="A298:A307" ca="1" si="119">INDIRECT(ADDRESS(ROW()+N_Offset_M,COLUMN()+(N_SpracheAuswahl)*26,,,"Text"))</f>
        <v>Saldo Arbeitsstunden:</v>
      </c>
      <c r="AK298" s="137"/>
      <c r="AQ298" s="55"/>
      <c r="AR298" s="137"/>
      <c r="BZ298" s="66" t="s">
        <v>232</v>
      </c>
      <c r="CA298" s="839">
        <f ca="1">SUM(CA295:CA297)</f>
        <v>0</v>
      </c>
      <c r="CE298" s="66" t="s">
        <v>232</v>
      </c>
      <c r="CF298" s="839">
        <f ca="1">SUM(CF295:CF297)</f>
        <v>0</v>
      </c>
      <c r="CG298" s="66"/>
      <c r="CH298" s="839">
        <f ca="1">SUM(CH295:CH297)</f>
        <v>0</v>
      </c>
      <c r="CI298" s="839">
        <f ca="1">SUM(CI295:CI297)</f>
        <v>0</v>
      </c>
    </row>
    <row r="299" spans="1:119" x14ac:dyDescent="0.25">
      <c r="A299" s="882" t="str">
        <f t="shared" ca="1" si="119"/>
        <v>Stand am Monatsbeginn</v>
      </c>
      <c r="B299" s="883">
        <f t="shared" ref="B299:E307" ca="1" si="120">INDIRECT(ADDRESS(ROW()+N_Offset_M,COLUMN()+(N_SpracheAuswahl)*26,,,"Text"))</f>
        <v>0</v>
      </c>
      <c r="C299" s="883">
        <f t="shared" ca="1" si="120"/>
        <v>0</v>
      </c>
      <c r="D299" s="883">
        <f t="shared" ca="1" si="120"/>
        <v>0</v>
      </c>
      <c r="E299" s="884">
        <f t="shared" ca="1" si="120"/>
        <v>0</v>
      </c>
      <c r="F299" s="566">
        <f ca="1">' 06 '!F307</f>
        <v>0</v>
      </c>
      <c r="P299" s="230" t="str">
        <f ca="1">CELL("Adresse",F299)&amp;" variable Formel!"</f>
        <v>$F$299 variable Formel!</v>
      </c>
      <c r="AK299" s="137"/>
      <c r="AQ299" s="55"/>
      <c r="AR299" s="137"/>
      <c r="BZ299" s="842" t="s">
        <v>1428</v>
      </c>
      <c r="CA299" s="842"/>
      <c r="CB299" s="842"/>
      <c r="CC299" s="842"/>
      <c r="CE299" s="842" t="s">
        <v>1429</v>
      </c>
      <c r="CF299" s="842"/>
      <c r="CG299" s="842"/>
      <c r="CH299" s="842"/>
      <c r="CI299" s="842"/>
    </row>
    <row r="300" spans="1:119" x14ac:dyDescent="0.25">
      <c r="A300" s="862" t="str">
        <f t="shared" ca="1" si="119"/>
        <v>Sollarbeitsstunden in diesem Monat</v>
      </c>
      <c r="B300" s="885">
        <f t="shared" ca="1" si="120"/>
        <v>0</v>
      </c>
      <c r="C300" s="885">
        <f t="shared" ca="1" si="120"/>
        <v>0</v>
      </c>
      <c r="D300" s="885">
        <f t="shared" ca="1" si="120"/>
        <v>0</v>
      </c>
      <c r="E300" s="886">
        <f t="shared" ca="1" si="120"/>
        <v>0</v>
      </c>
      <c r="F300" s="142">
        <f ca="1">(P2-SUM(U264:V294))*N_ArbeitsstundenSollProKT</f>
        <v>0</v>
      </c>
      <c r="G300" s="62"/>
      <c r="H300" s="62"/>
      <c r="I300" s="62"/>
      <c r="AK300" s="137"/>
      <c r="AQ300" s="55"/>
      <c r="AR300" s="137"/>
      <c r="BZ300" s="842" t="s">
        <v>1430</v>
      </c>
      <c r="CA300" s="842"/>
      <c r="CB300" s="842"/>
      <c r="CC300" s="842"/>
      <c r="CE300" s="842" t="s">
        <v>1430</v>
      </c>
      <c r="CF300" s="842"/>
      <c r="CG300" s="842"/>
      <c r="CH300" s="842"/>
      <c r="CI300" s="842"/>
    </row>
    <row r="301" spans="1:119" x14ac:dyDescent="0.25">
      <c r="A301" s="862" t="str">
        <f t="shared" ca="1" si="119"/>
        <v>geleistete Arbeitsstunden</v>
      </c>
      <c r="B301" s="885">
        <f t="shared" ca="1" si="120"/>
        <v>0</v>
      </c>
      <c r="C301" s="885">
        <f t="shared" ca="1" si="120"/>
        <v>0</v>
      </c>
      <c r="D301" s="885">
        <f t="shared" ca="1" si="120"/>
        <v>0</v>
      </c>
      <c r="E301" s="886">
        <f t="shared" ca="1" si="120"/>
        <v>0</v>
      </c>
      <c r="F301" s="142">
        <f ca="1">-(P28+P29)</f>
        <v>0</v>
      </c>
      <c r="G301" s="872" t="str">
        <f ca="1">IF(VLOOKUP(I$25,A_JaNein_Auswahl,2)=2,B_übernommenAusZeile&amp;" "&amp;ROW(P28)&amp;" + "&amp;ROW(P29),"")</f>
        <v>übernommen aus Zeile 28 + 29</v>
      </c>
      <c r="H301" s="873"/>
      <c r="I301" s="873"/>
      <c r="AK301" s="137"/>
      <c r="AQ301" s="55"/>
      <c r="AR301" s="137"/>
    </row>
    <row r="302" spans="1:119" ht="39.9" customHeight="1" x14ac:dyDescent="0.25">
      <c r="A302" s="862" t="str">
        <f ca="1">INDIRECT(ADDRESS(ROW()+N_Offset_M,COLUMN()+(N_SpracheAuswahl)*26,,,"Text"))&amp;" ("&amp;Berechnungen!B20&amp;" "&amp;B_StdProNacht&amp;")"</f>
        <v>angerechnet für Nachtdienst (1 Stunden pro Nacht)</v>
      </c>
      <c r="B302" s="885">
        <f t="shared" ca="1" si="120"/>
        <v>0</v>
      </c>
      <c r="C302" s="885">
        <f t="shared" ca="1" si="120"/>
        <v>0</v>
      </c>
      <c r="D302" s="885">
        <f t="shared" ca="1" si="120"/>
        <v>0</v>
      </c>
      <c r="E302" s="886">
        <f t="shared" ca="1" si="120"/>
        <v>0</v>
      </c>
      <c r="F302" s="189">
        <f ca="1">-P30*Berechnungen!B20</f>
        <v>0</v>
      </c>
      <c r="G302" s="872" t="str">
        <f ca="1">IF(VLOOKUP(I$25,A_JaNein_Auswahl,2)=2,B_gemTarifausZeile&amp;" "&amp;ROW(P30)&amp;"  "&amp;P302,"")</f>
        <v>gemäss Tarif errechnet aus Zeile 30  (Achtung: kein Nachtdienst verfügt)</v>
      </c>
      <c r="H302" s="873"/>
      <c r="I302" s="873"/>
      <c r="P302" s="157" t="str">
        <f ca="1">IF('  B  '!C28=0,Q302,"")</f>
        <v>(Achtung: kein Nachtdienst verfügt)</v>
      </c>
      <c r="Q302" s="157" t="str">
        <f ca="1">INDIRECT(ADDRESS(ROW()+N_Offset_M,COLUMN()+(N_SpracheAuswahl)*26,,,"Text"))</f>
        <v>(Achtung: kein Nachtdienst verfügt)</v>
      </c>
      <c r="AK302" s="137"/>
      <c r="AQ302" s="55"/>
      <c r="AR302" s="137"/>
      <c r="AT302" s="55"/>
    </row>
    <row r="303" spans="1:119" ht="27" customHeight="1" x14ac:dyDescent="0.25">
      <c r="A303" s="862" t="str">
        <f t="shared" ca="1" si="119"/>
        <v>Arbeitsausfall mit Lohnfortzahlung</v>
      </c>
      <c r="B303" s="885">
        <f t="shared" ca="1" si="120"/>
        <v>0</v>
      </c>
      <c r="C303" s="885">
        <f t="shared" ca="1" si="120"/>
        <v>0</v>
      </c>
      <c r="D303" s="885">
        <f t="shared" ca="1" si="120"/>
        <v>0</v>
      </c>
      <c r="E303" s="886">
        <f t="shared" ca="1" si="120"/>
        <v>0</v>
      </c>
      <c r="F303" s="142">
        <f ca="1">-G295</f>
        <v>0</v>
      </c>
      <c r="G303" s="872" t="str">
        <f ca="1">B_übernommenAusZeile&amp;" "&amp;ROW(G295)</f>
        <v>übernommen aus Zeile 295</v>
      </c>
      <c r="H303" s="873"/>
      <c r="I303" s="873"/>
      <c r="AK303" s="137"/>
      <c r="AQ303" s="55"/>
      <c r="AR303" s="137"/>
      <c r="AT303" s="55"/>
    </row>
    <row r="304" spans="1:119" ht="27" customHeight="1" x14ac:dyDescent="0.25">
      <c r="A304" s="862" t="str">
        <f t="shared" ca="1" si="119"/>
        <v>Arbeitsausfall ohne Lohnfortzahlung</v>
      </c>
      <c r="B304" s="885">
        <f t="shared" ca="1" si="120"/>
        <v>0</v>
      </c>
      <c r="C304" s="885">
        <f t="shared" ca="1" si="120"/>
        <v>0</v>
      </c>
      <c r="D304" s="885">
        <f t="shared" ca="1" si="120"/>
        <v>0</v>
      </c>
      <c r="E304" s="886">
        <f t="shared" ca="1" si="120"/>
        <v>0</v>
      </c>
      <c r="F304" s="142">
        <f ca="1">-H295</f>
        <v>0</v>
      </c>
      <c r="G304" s="872" t="str">
        <f ca="1">B_übernommenAusZeile&amp;" "&amp;ROW(H295)</f>
        <v>übernommen aus Zeile 295</v>
      </c>
      <c r="H304" s="873"/>
      <c r="I304" s="873"/>
      <c r="AK304" s="137"/>
      <c r="AQ304" s="55"/>
      <c r="AR304" s="137"/>
      <c r="AT304" s="55"/>
    </row>
    <row r="305" spans="1:46" ht="12.75" customHeight="1" x14ac:dyDescent="0.25">
      <c r="A305" s="862" t="str">
        <f t="shared" ca="1" si="119"/>
        <v>Vergütung von Überstunden</v>
      </c>
      <c r="B305" s="885">
        <f t="shared" ca="1" si="120"/>
        <v>0</v>
      </c>
      <c r="C305" s="885">
        <f t="shared" ca="1" si="120"/>
        <v>0</v>
      </c>
      <c r="D305" s="885">
        <f t="shared" ca="1" si="120"/>
        <v>0</v>
      </c>
      <c r="E305" s="886">
        <f t="shared" ca="1" si="120"/>
        <v>0</v>
      </c>
      <c r="F305" s="142">
        <f>I36</f>
        <v>0</v>
      </c>
      <c r="G305" s="872" t="str">
        <f ca="1">B_übernommenAusZeile&amp;" "&amp;ROW(I36)</f>
        <v>übernommen aus Zeile 36</v>
      </c>
      <c r="H305" s="873"/>
      <c r="I305" s="873"/>
      <c r="AK305" s="137"/>
      <c r="AQ305" s="55"/>
      <c r="AR305" s="137"/>
      <c r="AT305" s="55"/>
    </row>
    <row r="306" spans="1:46" ht="27" customHeight="1" x14ac:dyDescent="0.25">
      <c r="A306" s="887" t="str">
        <f t="shared" ca="1" si="119"/>
        <v>Korrektur Saldo Arbeitsstunden ohne Auswirkungen auf Lohnabrechnung (Eingabe in Spalte F)</v>
      </c>
      <c r="B306" s="888">
        <f t="shared" ca="1" si="120"/>
        <v>0</v>
      </c>
      <c r="C306" s="888">
        <f t="shared" ca="1" si="120"/>
        <v>0</v>
      </c>
      <c r="D306" s="888">
        <f t="shared" ca="1" si="120"/>
        <v>0</v>
      </c>
      <c r="E306" s="889">
        <f t="shared" ca="1" si="120"/>
        <v>0</v>
      </c>
      <c r="F306" s="143"/>
      <c r="G306" s="879"/>
      <c r="H306" s="880"/>
      <c r="I306" s="880"/>
      <c r="AK306" s="137"/>
      <c r="AQ306" s="55"/>
      <c r="AR306" s="137"/>
      <c r="AT306" s="55"/>
    </row>
    <row r="307" spans="1:46" x14ac:dyDescent="0.25">
      <c r="A307" s="882" t="str">
        <f t="shared" ca="1" si="119"/>
        <v>Saldo Arbeitsstunden Monatsende</v>
      </c>
      <c r="B307" s="883">
        <f t="shared" ca="1" si="120"/>
        <v>0</v>
      </c>
      <c r="C307" s="883">
        <f t="shared" ca="1" si="120"/>
        <v>0</v>
      </c>
      <c r="D307" s="883">
        <f t="shared" ca="1" si="120"/>
        <v>0</v>
      </c>
      <c r="E307" s="884">
        <f t="shared" ca="1" si="120"/>
        <v>0</v>
      </c>
      <c r="F307" s="142">
        <f ca="1">SUM(F299:F306)</f>
        <v>0</v>
      </c>
      <c r="G307" s="872" t="str">
        <f ca="1">IF(F307&lt;0,Q307,IF(F307&gt;0,P307,""))</f>
        <v/>
      </c>
      <c r="H307" s="881"/>
      <c r="I307" s="881"/>
      <c r="P307" s="56" t="str">
        <f ca="1">INDIRECT(ADDRESS(ROW()+N_Offset_M,COLUMN()+(N_SpracheAuswahl)*26,,,"Text"))</f>
        <v>(zu wenig Arbeitsstunden geleistet)</v>
      </c>
      <c r="Q307" s="56" t="str">
        <f ca="1">INDIRECT(ADDRESS(ROW()+N_Offset_M,COLUMN()+(N_SpracheAuswahl)*26,,,"Text"))</f>
        <v>(zu viele Arbeitsstunden geleistet)</v>
      </c>
      <c r="AK307" s="137"/>
      <c r="AQ307" s="55"/>
      <c r="AR307" s="137"/>
      <c r="AT307" s="55"/>
    </row>
    <row r="308" spans="1:46" x14ac:dyDescent="0.25">
      <c r="AK308" s="137"/>
      <c r="AQ308" s="55"/>
      <c r="AR308" s="137"/>
      <c r="AT308" s="55"/>
    </row>
    <row r="309" spans="1:46" s="497" customFormat="1" ht="15" customHeight="1" x14ac:dyDescent="0.25">
      <c r="A309" s="496" t="str">
        <f t="shared" ref="A309:A330" ca="1" si="121">IF(O309=0,"",IF(O309=1,AA309,P309))</f>
        <v>Korrekturen</v>
      </c>
      <c r="I309" s="498" t="str">
        <f ca="1">AI309</f>
        <v>Seite 9</v>
      </c>
      <c r="O309" s="499">
        <v>1</v>
      </c>
      <c r="AA309" s="497" t="str">
        <f ca="1">INDIRECT(ADDRESS(ROW()+N_Offset_M,COLUMN(A309)+(N_SpracheAuswahl)*26,,,"Text"))</f>
        <v>Korrekturen</v>
      </c>
      <c r="AI309" s="497" t="str">
        <f ca="1">INDIRECT(ADDRESS(ROW()+N_Offset_M,COLUMN(I309)+(N_SpracheAuswahl)*26,,,"Text"))</f>
        <v>Seite 9</v>
      </c>
      <c r="AK309" s="499"/>
      <c r="AM309" s="499"/>
      <c r="AO309" s="499"/>
      <c r="AR309" s="499"/>
    </row>
    <row r="310" spans="1:46" s="395" customFormat="1" ht="15" customHeight="1" x14ac:dyDescent="0.25">
      <c r="A310" s="395" t="str">
        <f>'  B  '!C34&amp;" "&amp;'  B  '!C35&amp;", "&amp;'  B  '!C40</f>
        <v xml:space="preserve"> , </v>
      </c>
      <c r="H310" s="877">
        <f>P1</f>
        <v>45474</v>
      </c>
      <c r="I310" s="878"/>
      <c r="O310" s="408"/>
      <c r="AK310" s="408"/>
      <c r="AM310" s="408"/>
      <c r="AO310" s="408"/>
      <c r="AR310" s="408"/>
    </row>
    <row r="311" spans="1:46" ht="27" customHeight="1" x14ac:dyDescent="0.25">
      <c r="A311" s="891" t="str">
        <f t="shared" ca="1" si="121"/>
        <v>Tragen Sie in den nächsten Zeilen allfällige Korrekturen für die Lohnabrechnung vergangener Monate ein. Diese werden, wenn relevant, in der Jahresübersicht berücksichtigt.</v>
      </c>
      <c r="B311" s="891"/>
      <c r="C311" s="891"/>
      <c r="D311" s="891"/>
      <c r="E311" s="891"/>
      <c r="F311" s="891"/>
      <c r="G311" s="891"/>
      <c r="H311" s="891"/>
      <c r="I311" s="891"/>
      <c r="N311" s="87"/>
      <c r="O311" s="288">
        <v>1</v>
      </c>
      <c r="AA311" s="55" t="str">
        <f ca="1">INDIRECT(ADDRESS(ROW()+N_Offset_M,COLUMN(A311)+(N_SpracheAuswahl)*26,,,"Text"))</f>
        <v>Tragen Sie in den nächsten Zeilen allfällige Korrekturen für die Lohnabrechnung vergangener Monate ein. Diese werden, wenn relevant, in der Jahresübersicht berücksichtigt.</v>
      </c>
      <c r="AK311" s="137"/>
      <c r="AQ311" s="55"/>
      <c r="AR311" s="137"/>
      <c r="AT311" s="55"/>
    </row>
    <row r="312" spans="1:46" x14ac:dyDescent="0.25">
      <c r="A312" s="55" t="str">
        <f t="shared" ca="1" si="121"/>
        <v>Abzüge sind mit Minus-Zeichen einzugeben.</v>
      </c>
      <c r="O312" s="288">
        <v>1</v>
      </c>
      <c r="AA312" s="55" t="str">
        <f ca="1">INDIRECT(ADDRESS(ROW()+N_Offset_M,COLUMN(A312)+(N_SpracheAuswahl)*26,,,"Text"))</f>
        <v>Abzüge sind mit Minus-Zeichen einzugeben.</v>
      </c>
      <c r="AK312" s="137"/>
      <c r="AQ312" s="55"/>
      <c r="AR312" s="137"/>
      <c r="AT312" s="55"/>
    </row>
    <row r="313" spans="1:46" ht="25.65" customHeight="1" x14ac:dyDescent="0.25">
      <c r="A313" s="494" t="str">
        <f t="shared" ca="1" si="121"/>
        <v>Die nächste Zeile enthält die Spaltenüberschriften</v>
      </c>
      <c r="E313" s="896"/>
      <c r="F313" s="896"/>
      <c r="G313" s="896"/>
      <c r="H313" s="896"/>
      <c r="I313" s="896"/>
      <c r="O313" s="288">
        <v>1</v>
      </c>
      <c r="AA313" s="55" t="str">
        <f ca="1">INDIRECT(ADDRESS(ROW()+N_Offset_M,COLUMN(A313)+(N_SpracheAuswahl)*26,,,"Text"))</f>
        <v>Die nächste Zeile enthält die Spaltenüberschriften</v>
      </c>
      <c r="AK313" s="137"/>
      <c r="AQ313" s="55"/>
      <c r="AR313" s="137"/>
      <c r="AT313" s="55"/>
    </row>
    <row r="314" spans="1:46" ht="27" customHeight="1" x14ac:dyDescent="0.25">
      <c r="A314" s="892" t="str">
        <f t="shared" ca="1" si="121"/>
        <v>Beschreibung</v>
      </c>
      <c r="B314" s="893" t="str">
        <f t="shared" ref="B314:B329" si="122">IF(P314=0,"",IF(P314=1,AB314,Q314))</f>
        <v/>
      </c>
      <c r="C314" s="893" t="str">
        <f t="shared" ref="C314:C329" si="123">IF(Q314=0,"",IF(Q314=1,AC314,R314))</f>
        <v/>
      </c>
      <c r="D314" s="495" t="str">
        <f ca="1">IF($O314&gt;0,AD314,"")</f>
        <v>Auswahl Ja/Nein</v>
      </c>
      <c r="E314" s="460" t="str">
        <f ca="1">IF($O314&gt;0,AE314,"")</f>
        <v>Einheit</v>
      </c>
      <c r="F314" s="461" t="str">
        <f t="shared" ref="F314:I314" ca="1" si="124">IF($O314&gt;0,AF314,"")</f>
        <v>Wert</v>
      </c>
      <c r="G314" s="894" t="str">
        <f t="shared" ca="1" si="124"/>
        <v>Beschreibungstext zu Korrektur (max. 32 Zeichen)</v>
      </c>
      <c r="H314" s="895">
        <f t="shared" si="124"/>
        <v>0</v>
      </c>
      <c r="I314" s="895">
        <f t="shared" si="124"/>
        <v>0</v>
      </c>
      <c r="N314" s="87"/>
      <c r="O314" s="288">
        <v>1</v>
      </c>
      <c r="AA314" s="55" t="str">
        <f ca="1">INDIRECT(ADDRESS(ROW()+N_Offset_M,COLUMN(A314)+(N_SpracheAuswahl)*26,,,"Text"))</f>
        <v>Beschreibung</v>
      </c>
      <c r="AD314" s="55" t="str">
        <f ca="1">INDIRECT(ADDRESS(ROW()+N_Offset_M,COLUMN(D314)+(N_SpracheAuswahl)*26,,,"Text"))</f>
        <v>Auswahl Ja/Nein</v>
      </c>
      <c r="AE314" s="55" t="str">
        <f ca="1">INDIRECT(ADDRESS(ROW()+N_Offset_M,COLUMN(E314)+(N_SpracheAuswahl)*26,,,"Text"))</f>
        <v>Einheit</v>
      </c>
      <c r="AF314" s="55" t="str">
        <f ca="1">INDIRECT(ADDRESS(ROW()+N_Offset_M,COLUMN(F314)+(N_SpracheAuswahl)*26,,,"Text"))</f>
        <v>Wert</v>
      </c>
      <c r="AG314" s="55" t="str">
        <f ca="1">INDIRECT(ADDRESS(ROW()+N_Offset_M,COLUMN(G314)+(N_SpracheAuswahl)*26,,,"Text"))</f>
        <v>Beschreibungstext zu Korrektur (max. 32 Zeichen)</v>
      </c>
      <c r="AK314" s="137"/>
      <c r="AQ314" s="55"/>
      <c r="AR314" s="137"/>
      <c r="AT314" s="55"/>
    </row>
    <row r="315" spans="1:46" x14ac:dyDescent="0.25">
      <c r="A315" s="862" t="str">
        <f t="shared" ca="1" si="121"/>
        <v>Monatslohn</v>
      </c>
      <c r="B315" s="862" t="str">
        <f t="shared" ca="1" si="122"/>
        <v>CHF</v>
      </c>
      <c r="C315" s="863">
        <f t="shared" si="123"/>
        <v>0</v>
      </c>
      <c r="D315" s="136" t="str">
        <f ca="1">Text!C$5</f>
        <v>Nein</v>
      </c>
      <c r="E315" s="373" t="str">
        <f t="shared" ref="E315:E329" ca="1" si="125">IF(VLOOKUP(D315,A_JaNein_Auswahl,2,0)=1,IF($O315&gt;0,Q315,""),"")</f>
        <v/>
      </c>
      <c r="F315" s="286"/>
      <c r="G315" s="871" t="s">
        <v>758</v>
      </c>
      <c r="H315" s="869"/>
      <c r="I315" s="870"/>
      <c r="N315" s="87"/>
      <c r="O315" s="288">
        <v>1</v>
      </c>
      <c r="P315" s="55">
        <f t="shared" ref="P315:P329" ca="1" si="126">VLOOKUP(D315,A_JaNein_Auswahl,2,0)</f>
        <v>2</v>
      </c>
      <c r="Q315" s="55" t="s">
        <v>1134</v>
      </c>
      <c r="AA315" s="294" t="str">
        <f ca="1">INDEX(L_Lohnart,N_LohnartAuswahl)</f>
        <v>Monatslohn</v>
      </c>
      <c r="AK315" s="137"/>
      <c r="AQ315" s="55"/>
      <c r="AR315" s="137"/>
      <c r="AT315" s="55"/>
    </row>
    <row r="316" spans="1:46" x14ac:dyDescent="0.25">
      <c r="A316" s="862" t="str">
        <f t="shared" si="121"/>
        <v/>
      </c>
      <c r="B316" s="862" t="str">
        <f t="shared" ca="1" si="122"/>
        <v>Anzahl</v>
      </c>
      <c r="C316" s="863">
        <f t="shared" ca="1" si="123"/>
        <v>0</v>
      </c>
      <c r="D316" s="136" t="str">
        <f ca="1">Text!C$5</f>
        <v>Nein</v>
      </c>
      <c r="E316" s="373" t="str">
        <f t="shared" ca="1" si="125"/>
        <v/>
      </c>
      <c r="F316" s="287"/>
      <c r="G316" s="871" t="s">
        <v>26</v>
      </c>
      <c r="H316" s="869"/>
      <c r="I316" s="870"/>
      <c r="O316" s="288">
        <f>1*('  B  '!C61&gt;0)</f>
        <v>0</v>
      </c>
      <c r="P316" s="55">
        <f t="shared" ca="1" si="126"/>
        <v>2</v>
      </c>
      <c r="Q316" s="55" t="str">
        <f ca="1">B_Anzahl</f>
        <v>Anzahl</v>
      </c>
      <c r="AA316" s="55" t="str">
        <f t="shared" ref="AA316:AA329" ca="1" si="127">INDIRECT(ADDRESS(ROW()+N_Offset_M,COLUMN(A316)+(N_SpracheAuswahl)*26,,,"Text"))</f>
        <v>Nachtpauschalen</v>
      </c>
    </row>
    <row r="317" spans="1:46" x14ac:dyDescent="0.25">
      <c r="A317" s="862" t="str">
        <f t="shared" ca="1" si="121"/>
        <v>Ferienentschädigung</v>
      </c>
      <c r="B317" s="862" t="str">
        <f t="shared" ca="1" si="122"/>
        <v>Stunden</v>
      </c>
      <c r="C317" s="863">
        <f t="shared" ca="1" si="123"/>
        <v>0</v>
      </c>
      <c r="D317" s="136" t="str">
        <f ca="1">Text!C$5</f>
        <v>Nein</v>
      </c>
      <c r="E317" s="373" t="str">
        <f t="shared" ca="1" si="125"/>
        <v/>
      </c>
      <c r="F317" s="286"/>
      <c r="G317" s="871"/>
      <c r="H317" s="869"/>
      <c r="I317" s="870"/>
      <c r="N317" s="63"/>
      <c r="O317" s="288">
        <f ca="1">1*OR(AND(N_LohnartAuswahl=1,N_Kündigung&gt;0),AND(N_LohnartAuswahl=2,N_Ferien_ArtAuszahlung_Auswahl=2))</f>
        <v>1</v>
      </c>
      <c r="P317" s="55">
        <f t="shared" ca="1" si="126"/>
        <v>2</v>
      </c>
      <c r="Q317" s="55" t="str">
        <f ca="1">B_Stunden</f>
        <v>Stunden</v>
      </c>
      <c r="AA317" s="55" t="str">
        <f t="shared" ca="1" si="127"/>
        <v>Ferienentschädigung</v>
      </c>
    </row>
    <row r="318" spans="1:46" ht="52.2" customHeight="1" x14ac:dyDescent="0.25">
      <c r="A318" s="862" t="str">
        <f t="shared" ca="1" si="121"/>
        <v>Ferienguthaben (ohne Auswirkung auf Lohnzahlung)</v>
      </c>
      <c r="B318" s="862" t="str">
        <f t="shared" ca="1" si="122"/>
        <v>Tage</v>
      </c>
      <c r="C318" s="863">
        <f t="shared" ca="1" si="123"/>
        <v>0</v>
      </c>
      <c r="D318" s="136" t="str">
        <f ca="1">Text!C$5</f>
        <v>Nein</v>
      </c>
      <c r="E318" s="373" t="str">
        <f t="shared" ca="1" si="125"/>
        <v/>
      </c>
      <c r="F318" s="286"/>
      <c r="G318" s="871"/>
      <c r="H318" s="867"/>
      <c r="I318" s="868"/>
      <c r="N318" s="575">
        <f>IF(O318=1,F318,0)</f>
        <v>0</v>
      </c>
      <c r="O318" s="288">
        <v>1</v>
      </c>
      <c r="P318" s="55">
        <f t="shared" ca="1" si="126"/>
        <v>2</v>
      </c>
      <c r="Q318" s="55" t="str">
        <f ca="1">B_Tage</f>
        <v>Tage</v>
      </c>
      <c r="AA318" s="55" t="str">
        <f t="shared" ca="1" si="127"/>
        <v>Ferienguthaben (ohne Auswirkung auf Lohnzahlung)</v>
      </c>
    </row>
    <row r="319" spans="1:46" x14ac:dyDescent="0.25">
      <c r="A319" s="862" t="str">
        <f t="shared" ref="A319:C320" ca="1" si="128">IF(O319=0,"",IF(O319=1,AA319,P319))</f>
        <v>AHV/IV/EO Prämien</v>
      </c>
      <c r="B319" s="862" t="str">
        <f t="shared" ca="1" si="128"/>
        <v>CHF</v>
      </c>
      <c r="C319" s="863">
        <f t="shared" si="128"/>
        <v>0</v>
      </c>
      <c r="D319" s="136" t="str">
        <f ca="1">Text!C$5</f>
        <v>Nein</v>
      </c>
      <c r="E319" s="373" t="str">
        <f t="shared" ca="1" si="125"/>
        <v/>
      </c>
      <c r="F319" s="286"/>
      <c r="G319" s="871" t="s">
        <v>1350</v>
      </c>
      <c r="H319" s="867"/>
      <c r="I319" s="868"/>
      <c r="O319" s="288">
        <v>1</v>
      </c>
      <c r="P319" s="55">
        <f ca="1">VLOOKUP(D319,A_JaNein_Auswahl,2,0)</f>
        <v>2</v>
      </c>
      <c r="Q319" s="55" t="s">
        <v>1134</v>
      </c>
      <c r="AA319" s="55" t="str">
        <f t="shared" ca="1" si="127"/>
        <v>AHV/IV/EO Prämien</v>
      </c>
    </row>
    <row r="320" spans="1:46" ht="27" customHeight="1" x14ac:dyDescent="0.25">
      <c r="A320" s="862" t="str">
        <f t="shared" ca="1" si="128"/>
        <v>ALV Prämien</v>
      </c>
      <c r="B320" s="862" t="str">
        <f t="shared" ca="1" si="128"/>
        <v>CHF</v>
      </c>
      <c r="C320" s="863">
        <f t="shared" si="128"/>
        <v>0</v>
      </c>
      <c r="D320" s="136" t="str">
        <f ca="1">Text!C$5</f>
        <v>Nein</v>
      </c>
      <c r="E320" s="373" t="str">
        <f t="shared" ca="1" si="125"/>
        <v/>
      </c>
      <c r="F320" s="286"/>
      <c r="G320" s="871" t="s">
        <v>944</v>
      </c>
      <c r="H320" s="867"/>
      <c r="I320" s="868"/>
      <c r="O320" s="288">
        <v>1</v>
      </c>
      <c r="P320" s="55">
        <f ca="1">VLOOKUP(D320,A_JaNein_Auswahl,2,0)</f>
        <v>2</v>
      </c>
      <c r="Q320" s="55" t="s">
        <v>1134</v>
      </c>
      <c r="AA320" s="55" t="str">
        <f t="shared" ca="1" si="127"/>
        <v>ALV Prämien</v>
      </c>
    </row>
    <row r="321" spans="1:27" x14ac:dyDescent="0.25">
      <c r="A321" s="862" t="str">
        <f t="shared" si="121"/>
        <v/>
      </c>
      <c r="B321" s="862" t="str">
        <f t="shared" ca="1" si="122"/>
        <v>CHF</v>
      </c>
      <c r="C321" s="863">
        <f t="shared" si="123"/>
        <v>0</v>
      </c>
      <c r="D321" s="136" t="str">
        <f ca="1">Text!C$5</f>
        <v>Nein</v>
      </c>
      <c r="E321" s="373" t="str">
        <f t="shared" ca="1" si="125"/>
        <v/>
      </c>
      <c r="F321" s="286"/>
      <c r="G321" s="871" t="s">
        <v>31</v>
      </c>
      <c r="H321" s="867"/>
      <c r="I321" s="868"/>
      <c r="O321" s="288">
        <f>1*(SUM('  B  '!C79:D79)&gt;0)</f>
        <v>0</v>
      </c>
      <c r="P321" s="55">
        <f t="shared" ca="1" si="126"/>
        <v>2</v>
      </c>
      <c r="Q321" s="55" t="s">
        <v>1134</v>
      </c>
      <c r="AA321" s="55" t="str">
        <f t="shared" ca="1" si="127"/>
        <v>NBU Prämien</v>
      </c>
    </row>
    <row r="322" spans="1:27" ht="27" customHeight="1" x14ac:dyDescent="0.25">
      <c r="A322" s="862" t="str">
        <f t="shared" si="121"/>
        <v/>
      </c>
      <c r="B322" s="862" t="str">
        <f t="shared" ca="1" si="122"/>
        <v>CHF</v>
      </c>
      <c r="C322" s="863">
        <f t="shared" si="123"/>
        <v>0</v>
      </c>
      <c r="D322" s="136" t="str">
        <f ca="1">Text!C$5</f>
        <v>Nein</v>
      </c>
      <c r="E322" s="373" t="str">
        <f t="shared" ca="1" si="125"/>
        <v/>
      </c>
      <c r="F322" s="286"/>
      <c r="G322" s="871" t="s">
        <v>1351</v>
      </c>
      <c r="H322" s="867"/>
      <c r="I322" s="868"/>
      <c r="O322" s="288">
        <f>1*(SUM('  B  '!C80:D80)&gt;0)</f>
        <v>0</v>
      </c>
      <c r="P322" s="55">
        <f t="shared" ca="1" si="126"/>
        <v>2</v>
      </c>
      <c r="Q322" s="55" t="s">
        <v>1134</v>
      </c>
      <c r="AA322" s="55" t="str">
        <f t="shared" ca="1" si="127"/>
        <v>Berufliche Vorsorge Prämie</v>
      </c>
    </row>
    <row r="323" spans="1:27" ht="27" customHeight="1" x14ac:dyDescent="0.25">
      <c r="A323" s="862" t="str">
        <f t="shared" ca="1" si="121"/>
        <v>Familienzulage Prämie</v>
      </c>
      <c r="B323" s="862" t="str">
        <f t="shared" ca="1" si="122"/>
        <v>CHF</v>
      </c>
      <c r="C323" s="863">
        <f t="shared" si="123"/>
        <v>0</v>
      </c>
      <c r="D323" s="136" t="str">
        <f ca="1">Text!C$5</f>
        <v>Nein</v>
      </c>
      <c r="E323" s="373" t="str">
        <f t="shared" ca="1" si="125"/>
        <v/>
      </c>
      <c r="F323" s="286"/>
      <c r="G323" s="871" t="s">
        <v>1355</v>
      </c>
      <c r="H323" s="867"/>
      <c r="I323" s="868"/>
      <c r="O323" s="288">
        <f>1*(SUM('  B  '!C81:D81)&gt;0)</f>
        <v>1</v>
      </c>
      <c r="P323" s="55">
        <f t="shared" ca="1" si="126"/>
        <v>2</v>
      </c>
      <c r="Q323" s="55" t="s">
        <v>1134</v>
      </c>
      <c r="AA323" s="55" t="str">
        <f t="shared" ca="1" si="127"/>
        <v>Familienzulage Prämie</v>
      </c>
    </row>
    <row r="324" spans="1:27" x14ac:dyDescent="0.25">
      <c r="A324" s="862" t="str">
        <f t="shared" si="121"/>
        <v/>
      </c>
      <c r="B324" s="862" t="str">
        <f t="shared" ca="1" si="122"/>
        <v>CHF</v>
      </c>
      <c r="C324" s="863">
        <f t="shared" si="123"/>
        <v>0</v>
      </c>
      <c r="D324" s="136" t="str">
        <f ca="1">Text!C$5</f>
        <v>Nein</v>
      </c>
      <c r="E324" s="373" t="str">
        <f t="shared" ca="1" si="125"/>
        <v/>
      </c>
      <c r="F324" s="286"/>
      <c r="G324" s="871" t="s">
        <v>33</v>
      </c>
      <c r="H324" s="867"/>
      <c r="I324" s="868"/>
      <c r="O324" s="288">
        <f>1*(SUM('  B  '!C82:D82)&gt;0)</f>
        <v>0</v>
      </c>
      <c r="P324" s="55">
        <f t="shared" ca="1" si="126"/>
        <v>2</v>
      </c>
      <c r="Q324" s="55" t="s">
        <v>1134</v>
      </c>
      <c r="AA324" s="55" t="str">
        <f t="shared" ca="1" si="127"/>
        <v>KTG Prämie</v>
      </c>
    </row>
    <row r="325" spans="1:27" ht="27" customHeight="1" x14ac:dyDescent="0.25">
      <c r="A325" s="862" t="str">
        <f ca="1">IF(O325=0,"",IF(O325=1,AA325,P325))</f>
        <v/>
      </c>
      <c r="B325" s="862" t="str">
        <f t="shared" ca="1" si="122"/>
        <v>CHF</v>
      </c>
      <c r="C325" s="863">
        <f t="shared" si="123"/>
        <v>0</v>
      </c>
      <c r="D325" s="136" t="str">
        <f ca="1">Text!C$5</f>
        <v>Nein</v>
      </c>
      <c r="E325" s="373" t="str">
        <f t="shared" ca="1" si="125"/>
        <v/>
      </c>
      <c r="F325" s="286"/>
      <c r="G325" s="871" t="s">
        <v>1352</v>
      </c>
      <c r="H325" s="869"/>
      <c r="I325" s="870"/>
      <c r="N325" s="63"/>
      <c r="O325" s="288">
        <f ca="1">1*(VLOOKUP('  B  '!C84,A_JaNein_Auswahl,2,0)=1)</f>
        <v>0</v>
      </c>
      <c r="P325" s="55">
        <f t="shared" ca="1" si="126"/>
        <v>2</v>
      </c>
      <c r="Q325" s="55" t="s">
        <v>1134</v>
      </c>
      <c r="AA325" s="55" t="str">
        <f t="shared" ca="1" si="127"/>
        <v>Kinder / Ausbildungszulage</v>
      </c>
    </row>
    <row r="326" spans="1:27" ht="39.9" customHeight="1" x14ac:dyDescent="0.25">
      <c r="A326" s="862" t="str">
        <f t="shared" ca="1" si="121"/>
        <v>Taggelder der Unfallversicherung</v>
      </c>
      <c r="B326" s="862" t="str">
        <f t="shared" ca="1" si="122"/>
        <v>CHF</v>
      </c>
      <c r="C326" s="863">
        <f t="shared" si="123"/>
        <v>0</v>
      </c>
      <c r="D326" s="136" t="str">
        <f ca="1">Text!C$5</f>
        <v>Nein</v>
      </c>
      <c r="E326" s="373" t="str">
        <f t="shared" ca="1" si="125"/>
        <v/>
      </c>
      <c r="F326" s="286"/>
      <c r="G326" s="871" t="s">
        <v>1354</v>
      </c>
      <c r="H326" s="869"/>
      <c r="I326" s="870"/>
      <c r="N326" s="63"/>
      <c r="O326" s="288">
        <v>1</v>
      </c>
      <c r="P326" s="55">
        <f t="shared" ca="1" si="126"/>
        <v>2</v>
      </c>
      <c r="Q326" s="55" t="s">
        <v>1134</v>
      </c>
      <c r="AA326" s="55" t="str">
        <f t="shared" ca="1" si="127"/>
        <v>Taggelder der Unfallversicherung</v>
      </c>
    </row>
    <row r="327" spans="1:27" ht="27" customHeight="1" x14ac:dyDescent="0.25">
      <c r="A327" s="862" t="str">
        <f t="shared" ca="1" si="121"/>
        <v/>
      </c>
      <c r="B327" s="862" t="str">
        <f t="shared" ca="1" si="122"/>
        <v>CHF</v>
      </c>
      <c r="C327" s="863">
        <f t="shared" si="123"/>
        <v>0</v>
      </c>
      <c r="D327" s="136" t="str">
        <f ca="1">Text!C$5</f>
        <v>Nein</v>
      </c>
      <c r="E327" s="373" t="str">
        <f t="shared" ca="1" si="125"/>
        <v/>
      </c>
      <c r="F327" s="286"/>
      <c r="G327" s="871" t="s">
        <v>1353</v>
      </c>
      <c r="H327" s="869"/>
      <c r="I327" s="870"/>
      <c r="N327" s="63"/>
      <c r="O327" s="288">
        <f ca="1">1*('  B  '!F110=1)</f>
        <v>0</v>
      </c>
      <c r="P327" s="55">
        <f t="shared" ca="1" si="126"/>
        <v>2</v>
      </c>
      <c r="Q327" s="55" t="s">
        <v>1134</v>
      </c>
      <c r="AA327" s="55" t="str">
        <f t="shared" ca="1" si="127"/>
        <v>Taggelder der Krankenversicherung</v>
      </c>
    </row>
    <row r="328" spans="1:27" x14ac:dyDescent="0.25">
      <c r="A328" s="862" t="str">
        <f t="shared" ca="1" si="121"/>
        <v/>
      </c>
      <c r="B328" s="862" t="str">
        <f t="shared" ca="1" si="122"/>
        <v>CHF</v>
      </c>
      <c r="C328" s="863">
        <f t="shared" si="123"/>
        <v>0</v>
      </c>
      <c r="D328" s="136" t="str">
        <f ca="1">Text!C$5</f>
        <v>Nein</v>
      </c>
      <c r="E328" s="373" t="str">
        <f t="shared" ca="1" si="125"/>
        <v/>
      </c>
      <c r="F328" s="286"/>
      <c r="G328" s="871"/>
      <c r="H328" s="869"/>
      <c r="I328" s="870"/>
      <c r="N328" s="63"/>
      <c r="O328" s="288">
        <f ca="1">1*(VLOOKUP('  B  '!C85,A_JaNein_Auswahl,2,0)=1)</f>
        <v>0</v>
      </c>
      <c r="P328" s="55">
        <f t="shared" ca="1" si="126"/>
        <v>2</v>
      </c>
      <c r="Q328" s="55" t="s">
        <v>1134</v>
      </c>
      <c r="AA328" s="55" t="str">
        <f t="shared" ca="1" si="127"/>
        <v>Quellensteuer</v>
      </c>
    </row>
    <row r="329" spans="1:27" x14ac:dyDescent="0.25">
      <c r="A329" s="862" t="str">
        <f t="shared" ca="1" si="121"/>
        <v>Spesen</v>
      </c>
      <c r="B329" s="862" t="str">
        <f t="shared" ca="1" si="122"/>
        <v>CHF</v>
      </c>
      <c r="C329" s="863">
        <f t="shared" si="123"/>
        <v>0</v>
      </c>
      <c r="D329" s="136" t="str">
        <f ca="1">Text!C$5</f>
        <v>Nein</v>
      </c>
      <c r="E329" s="373" t="str">
        <f t="shared" ca="1" si="125"/>
        <v/>
      </c>
      <c r="F329" s="286"/>
      <c r="G329" s="871" t="s">
        <v>29</v>
      </c>
      <c r="H329" s="869"/>
      <c r="I329" s="870"/>
      <c r="N329" s="63"/>
      <c r="O329" s="288">
        <v>1</v>
      </c>
      <c r="P329" s="55">
        <f t="shared" ca="1" si="126"/>
        <v>2</v>
      </c>
      <c r="Q329" s="55" t="s">
        <v>1134</v>
      </c>
      <c r="AA329" s="55" t="str">
        <f t="shared" ca="1" si="127"/>
        <v>Spesen</v>
      </c>
    </row>
    <row r="330" spans="1:27" x14ac:dyDescent="0.25">
      <c r="A330" s="492">
        <f t="shared" si="121"/>
        <v>0</v>
      </c>
      <c r="H330" s="64"/>
      <c r="N330" s="63"/>
      <c r="O330" s="288">
        <v>1</v>
      </c>
    </row>
    <row r="331" spans="1:27" ht="110.1" customHeight="1" x14ac:dyDescent="0.25">
      <c r="A331" s="855" t="str">
        <f ca="1">IF(O331=0,"",IF(O331=1,AA331,P331))</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c r="B331" s="855"/>
      <c r="C331" s="855"/>
      <c r="D331" s="855"/>
      <c r="E331" s="855"/>
      <c r="F331" s="855"/>
      <c r="G331" s="855"/>
      <c r="H331" s="855"/>
      <c r="I331" s="855"/>
      <c r="N331" s="63"/>
      <c r="O331" s="288">
        <v>1</v>
      </c>
      <c r="AA331" s="55" t="str">
        <f ca="1">INDIRECT(ADDRESS(ROW()+N_Offset_M,COLUMN(A331)+(N_SpracheAuswahl)*26,,,"Text"))</f>
        <v>Hinweis zur Mutterschaftsentschädigung: Die Mutterschaftsentschädigung wird vom LAM nicht automatisch berücksichtigt. Es gibt zwei verschiedene Methoden zur Behandlung und Abrechnung der Mutterschaftsentschädigung, siehe Link unten. Sie haben jedoch im LAM die Möglichkeit in den entsprechenden Monatsblätter ab Zeile 309 (Korrekturen) manuell ihre Ausrechnungen einzutragen. Ebenfalls müssen Sie ab Zeile 259 den Einsatzrapport manuell anpassen sowie ab Zeile 146 (Verrechnung Assistenzbeitrag) die Überträge ins ASTeK bzw. für das Rechnungsformular.</v>
      </c>
    </row>
    <row r="332" spans="1:27" x14ac:dyDescent="0.25">
      <c r="A332" s="644" t="str">
        <f ca="1">IF(O332=0,"",IF(O332=1,HYPERLINK(AA332),P332))</f>
        <v/>
      </c>
      <c r="N332" s="63"/>
      <c r="O332" s="288">
        <f ca="1">IF(OR(S216=9,S226=9,S236=9),1,0)</f>
        <v>0</v>
      </c>
      <c r="AA332" s="55" t="str">
        <f ca="1">INDIRECT(ADDRESS(ROW()+N_Offset_M,COLUMN(A332)+(N_SpracheAuswahl)*26,,,"Text"))</f>
        <v>https://www.ahv-iv.ch/p/6.02.d</v>
      </c>
    </row>
    <row r="333" spans="1:27" x14ac:dyDescent="0.25">
      <c r="A333" s="492" t="str">
        <f t="shared" ref="A333" ca="1" si="129">IF(O333=0,"",IF(O333=1,AA333,P333))</f>
        <v>Ende dieses Tabellenblattes</v>
      </c>
      <c r="H333" s="64"/>
      <c r="N333" s="63"/>
      <c r="O333" s="288">
        <v>1</v>
      </c>
      <c r="AA333" s="55" t="str">
        <f ca="1">INDIRECT(ADDRESS(ROW()+N_Offset_M,COLUMN(A333)+(N_SpracheAuswahl)*26,,,"Text"))</f>
        <v>Ende dieses Tabellenblattes</v>
      </c>
    </row>
    <row r="334" spans="1:27" x14ac:dyDescent="0.25">
      <c r="H334" s="63"/>
      <c r="N334" s="63"/>
    </row>
    <row r="335" spans="1:27" x14ac:dyDescent="0.25">
      <c r="H335" s="63"/>
      <c r="N335" s="63"/>
    </row>
    <row r="336" spans="1:27" x14ac:dyDescent="0.25">
      <c r="N336" s="63"/>
    </row>
    <row r="337" spans="14:14" x14ac:dyDescent="0.25">
      <c r="N337" s="63"/>
    </row>
    <row r="354" spans="1:46" hidden="1" x14ac:dyDescent="0.25"/>
    <row r="355" spans="1:46" hidden="1" x14ac:dyDescent="0.25"/>
    <row r="356" spans="1:46" hidden="1" x14ac:dyDescent="0.25"/>
    <row r="357" spans="1:46" s="77" customFormat="1" hidden="1" x14ac:dyDescent="0.25">
      <c r="A357" s="146" t="s">
        <v>53</v>
      </c>
      <c r="AM357" s="139"/>
      <c r="AO357" s="139"/>
      <c r="AQ357" s="139"/>
      <c r="AT357" s="138"/>
    </row>
    <row r="358" spans="1:46" hidden="1" x14ac:dyDescent="0.25">
      <c r="J358" s="55" t="s">
        <v>56</v>
      </c>
      <c r="K358" s="55" t="s">
        <v>55</v>
      </c>
      <c r="L358" s="63" t="s">
        <v>524</v>
      </c>
      <c r="M358" s="55" t="s">
        <v>52</v>
      </c>
    </row>
    <row r="359" spans="1:46" hidden="1" x14ac:dyDescent="0.25">
      <c r="A359" s="159" t="str">
        <f>'  B  '!C19&amp;" "&amp;'  B  '!C20</f>
        <v xml:space="preserve"> </v>
      </c>
      <c r="B359" s="159"/>
      <c r="C359" s="159"/>
      <c r="D359" s="159"/>
      <c r="F359" s="159"/>
      <c r="G359" s="195" t="str">
        <f ca="1">AG359</f>
        <v>Lohnabrechnung</v>
      </c>
      <c r="H359" s="159"/>
      <c r="I359" s="159"/>
      <c r="J359" s="160">
        <v>1</v>
      </c>
      <c r="K359" s="55">
        <v>1</v>
      </c>
      <c r="M359" s="55" t="s">
        <v>54</v>
      </c>
      <c r="AA359" s="206" t="str">
        <f>'  B  '!AC19&amp;" "&amp;'  B  '!AC20</f>
        <v xml:space="preserve"> </v>
      </c>
      <c r="AB359" s="206"/>
      <c r="AC359" s="206"/>
      <c r="AD359" s="206"/>
      <c r="AE359" s="63"/>
      <c r="AF359" s="206"/>
      <c r="AG359" s="206" t="str">
        <f ca="1">INDIRECT(ADDRESS(ROW()+N_Offset_M,COLUMN(G359)+(N_SpracheAuswahl)*26,,,"Text"))</f>
        <v>Lohnabrechnung</v>
      </c>
      <c r="AH359" s="206"/>
      <c r="AI359" s="206"/>
    </row>
    <row r="360" spans="1:46" hidden="1" x14ac:dyDescent="0.25">
      <c r="A360" s="159" t="str">
        <f>'  B  '!C21</f>
        <v/>
      </c>
      <c r="B360" s="159"/>
      <c r="C360" s="159"/>
      <c r="D360" s="159"/>
      <c r="F360" s="159"/>
      <c r="G360" s="196">
        <f>A264</f>
        <v>45474</v>
      </c>
      <c r="H360" s="159"/>
      <c r="I360" s="197"/>
      <c r="J360" s="160">
        <f t="shared" ref="J360:J427" si="130">OR(NOT(I360=0),M360="F")*1+J359</f>
        <v>2</v>
      </c>
      <c r="K360" s="55">
        <v>2</v>
      </c>
      <c r="M360" s="55" t="s">
        <v>54</v>
      </c>
      <c r="AA360" s="206"/>
      <c r="AB360" s="206"/>
      <c r="AC360" s="206"/>
      <c r="AD360" s="206"/>
      <c r="AE360" s="63"/>
      <c r="AF360" s="206"/>
      <c r="AG360" s="300"/>
      <c r="AH360" s="206"/>
      <c r="AI360" s="197"/>
    </row>
    <row r="361" spans="1:46" hidden="1" x14ac:dyDescent="0.25">
      <c r="A361" s="159" t="str">
        <f>IF('  B  '!C22="",'  B  '!C23&amp;" "&amp;'  B  '!C24,'  B  '!C22)</f>
        <v xml:space="preserve"> </v>
      </c>
      <c r="B361" s="159"/>
      <c r="C361" s="159"/>
      <c r="D361" s="159"/>
      <c r="F361" s="159"/>
      <c r="G361" s="196"/>
      <c r="H361" s="159"/>
      <c r="I361" s="197"/>
      <c r="J361" s="160">
        <f t="shared" si="130"/>
        <v>3</v>
      </c>
      <c r="K361" s="55">
        <v>3</v>
      </c>
      <c r="M361" s="55" t="s">
        <v>54</v>
      </c>
      <c r="AA361" s="206"/>
      <c r="AB361" s="206"/>
      <c r="AC361" s="206"/>
      <c r="AD361" s="206"/>
      <c r="AE361" s="63"/>
      <c r="AF361" s="206"/>
      <c r="AG361" s="300"/>
      <c r="AH361" s="206"/>
      <c r="AI361" s="197"/>
    </row>
    <row r="362" spans="1:46" hidden="1" x14ac:dyDescent="0.25">
      <c r="A362" s="159" t="str">
        <f>IF('  B  '!C22&lt;&gt;"",'  B  '!C23&amp;" "&amp;'  B  '!C24,"")</f>
        <v/>
      </c>
      <c r="B362" s="159"/>
      <c r="C362" s="159"/>
      <c r="D362" s="159"/>
      <c r="F362" s="159"/>
      <c r="G362" s="196"/>
      <c r="H362" s="159"/>
      <c r="I362" s="197"/>
      <c r="J362" s="160">
        <f t="shared" si="130"/>
        <v>4</v>
      </c>
      <c r="K362" s="55">
        <v>4</v>
      </c>
      <c r="M362" s="55" t="s">
        <v>54</v>
      </c>
      <c r="AA362" s="206" t="str">
        <f>'  B  '!AC23&amp;" "&amp;'  B  '!AC24</f>
        <v xml:space="preserve"> </v>
      </c>
      <c r="AB362" s="206"/>
      <c r="AC362" s="206"/>
      <c r="AD362" s="206"/>
      <c r="AE362" s="63"/>
      <c r="AF362" s="206"/>
      <c r="AG362" s="300"/>
      <c r="AH362" s="206"/>
      <c r="AI362" s="197"/>
    </row>
    <row r="363" spans="1:46" hidden="1" x14ac:dyDescent="0.25">
      <c r="A363" s="159"/>
      <c r="B363" s="159"/>
      <c r="C363" s="159"/>
      <c r="D363" s="159"/>
      <c r="F363" s="159"/>
      <c r="G363" s="196"/>
      <c r="H363" s="159"/>
      <c r="I363" s="197"/>
      <c r="J363" s="160">
        <f t="shared" si="130"/>
        <v>5</v>
      </c>
      <c r="K363" s="55">
        <v>5</v>
      </c>
      <c r="M363" s="55" t="s">
        <v>54</v>
      </c>
      <c r="AA363" s="206"/>
      <c r="AB363" s="206"/>
      <c r="AC363" s="206"/>
      <c r="AD363" s="206"/>
      <c r="AE363" s="63"/>
      <c r="AF363" s="206"/>
      <c r="AG363" s="300"/>
      <c r="AH363" s="206"/>
      <c r="AI363" s="197"/>
    </row>
    <row r="364" spans="1:46" hidden="1" x14ac:dyDescent="0.25">
      <c r="A364" s="159"/>
      <c r="B364" s="159"/>
      <c r="C364" s="159"/>
      <c r="D364" s="159"/>
      <c r="F364" s="159"/>
      <c r="G364" s="159" t="str">
        <f>'  B  '!C33</f>
        <v/>
      </c>
      <c r="H364" s="159"/>
      <c r="I364" s="159"/>
      <c r="J364" s="160">
        <f t="shared" si="130"/>
        <v>6</v>
      </c>
      <c r="K364" s="55">
        <v>6</v>
      </c>
      <c r="M364" s="55" t="s">
        <v>54</v>
      </c>
      <c r="AA364" s="206"/>
      <c r="AB364" s="206"/>
      <c r="AC364" s="206"/>
      <c r="AD364" s="206"/>
      <c r="AE364" s="63"/>
      <c r="AF364" s="206"/>
      <c r="AG364" s="206"/>
      <c r="AH364" s="206"/>
      <c r="AI364" s="206"/>
    </row>
    <row r="365" spans="1:46" hidden="1" x14ac:dyDescent="0.25">
      <c r="A365" s="159"/>
      <c r="B365" s="159"/>
      <c r="C365" s="159"/>
      <c r="D365" s="159"/>
      <c r="F365" s="159"/>
      <c r="G365" s="159" t="str">
        <f>'  B  '!C34&amp;" "&amp;'  B  '!C35</f>
        <v xml:space="preserve"> </v>
      </c>
      <c r="H365" s="159"/>
      <c r="I365" s="159"/>
      <c r="J365" s="160">
        <f t="shared" si="130"/>
        <v>7</v>
      </c>
      <c r="K365" s="55">
        <v>7</v>
      </c>
      <c r="M365" s="55" t="s">
        <v>54</v>
      </c>
      <c r="AA365" s="206"/>
      <c r="AB365" s="206"/>
      <c r="AC365" s="206"/>
      <c r="AD365" s="206"/>
      <c r="AE365" s="63"/>
      <c r="AF365" s="206"/>
      <c r="AG365" s="206"/>
      <c r="AH365" s="206"/>
      <c r="AI365" s="206"/>
    </row>
    <row r="366" spans="1:46" hidden="1" x14ac:dyDescent="0.25">
      <c r="A366" s="159"/>
      <c r="B366" s="159"/>
      <c r="C366" s="159"/>
      <c r="D366" s="159"/>
      <c r="F366" s="159"/>
      <c r="G366" s="159" t="str">
        <f>'  B  '!C36</f>
        <v/>
      </c>
      <c r="H366" s="159"/>
      <c r="I366" s="159"/>
      <c r="J366" s="160">
        <f t="shared" si="130"/>
        <v>8</v>
      </c>
      <c r="K366" s="55">
        <v>8</v>
      </c>
      <c r="M366" s="55" t="s">
        <v>54</v>
      </c>
      <c r="AA366" s="206"/>
      <c r="AB366" s="206"/>
      <c r="AC366" s="206"/>
      <c r="AD366" s="206"/>
      <c r="AE366" s="63"/>
      <c r="AF366" s="206"/>
      <c r="AG366" s="206"/>
      <c r="AH366" s="206"/>
      <c r="AI366" s="206"/>
    </row>
    <row r="367" spans="1:46" hidden="1" x14ac:dyDescent="0.25">
      <c r="A367" s="159"/>
      <c r="B367" s="159"/>
      <c r="C367" s="159"/>
      <c r="D367" s="159"/>
      <c r="F367" s="159"/>
      <c r="G367" s="159" t="str">
        <f>IF('  B  '!C37="",'  B  '!C38&amp;" "&amp;'  B  '!C39,'  B  '!C37)</f>
        <v xml:space="preserve"> </v>
      </c>
      <c r="H367" s="159"/>
      <c r="I367" s="159"/>
      <c r="J367" s="160">
        <f t="shared" si="130"/>
        <v>9</v>
      </c>
      <c r="K367" s="55">
        <v>9</v>
      </c>
      <c r="M367" s="55" t="s">
        <v>54</v>
      </c>
      <c r="AA367" s="206"/>
      <c r="AB367" s="206"/>
      <c r="AC367" s="206"/>
      <c r="AD367" s="206"/>
      <c r="AE367" s="63"/>
      <c r="AF367" s="206"/>
      <c r="AG367" s="206"/>
      <c r="AH367" s="206"/>
      <c r="AI367" s="206"/>
    </row>
    <row r="368" spans="1:46" hidden="1" x14ac:dyDescent="0.25">
      <c r="A368" s="159"/>
      <c r="B368" s="159"/>
      <c r="C368" s="159"/>
      <c r="D368" s="159"/>
      <c r="F368" s="159"/>
      <c r="G368" s="159" t="str">
        <f>IF('  B  '!C37&lt;&gt;"",'  B  '!C38&amp;" "&amp;'  B  '!C39,"")</f>
        <v/>
      </c>
      <c r="H368" s="159"/>
      <c r="I368" s="159"/>
      <c r="J368" s="160">
        <f t="shared" si="130"/>
        <v>10</v>
      </c>
      <c r="K368" s="55">
        <v>10</v>
      </c>
      <c r="M368" s="55" t="s">
        <v>54</v>
      </c>
      <c r="AA368" s="206"/>
      <c r="AB368" s="206"/>
      <c r="AC368" s="206"/>
      <c r="AD368" s="206"/>
      <c r="AE368" s="63"/>
      <c r="AF368" s="206"/>
      <c r="AG368" s="206" t="str">
        <f>'  B  '!AC38&amp;" "&amp;'  B  '!AC39</f>
        <v xml:space="preserve"> </v>
      </c>
      <c r="AH368" s="206"/>
      <c r="AI368" s="206"/>
    </row>
    <row r="369" spans="1:35" hidden="1" x14ac:dyDescent="0.25">
      <c r="A369" s="159"/>
      <c r="B369" s="159"/>
      <c r="C369" s="159"/>
      <c r="D369" s="159"/>
      <c r="E369" s="159"/>
      <c r="F369" s="159"/>
      <c r="G369" s="159"/>
      <c r="H369" s="159"/>
      <c r="I369" s="159"/>
      <c r="J369" s="160">
        <f t="shared" si="130"/>
        <v>11</v>
      </c>
      <c r="K369" s="55">
        <v>11</v>
      </c>
      <c r="M369" s="55" t="s">
        <v>54</v>
      </c>
      <c r="AA369" s="206"/>
      <c r="AB369" s="206"/>
      <c r="AC369" s="206"/>
      <c r="AD369" s="206"/>
      <c r="AE369" s="206"/>
      <c r="AF369" s="206"/>
      <c r="AG369" s="206"/>
      <c r="AH369" s="206"/>
      <c r="AI369" s="206"/>
    </row>
    <row r="370" spans="1:35" hidden="1" x14ac:dyDescent="0.25">
      <c r="A370" s="159" t="str">
        <f ca="1">AA370</f>
        <v>Abrechnungsdatum</v>
      </c>
      <c r="B370" s="159"/>
      <c r="C370" s="159"/>
      <c r="E370" s="198">
        <f>I23</f>
        <v>0</v>
      </c>
      <c r="F370" s="159"/>
      <c r="G370" s="159"/>
      <c r="H370" s="159"/>
      <c r="I370" s="199"/>
      <c r="J370" s="160">
        <f t="shared" si="130"/>
        <v>12</v>
      </c>
      <c r="K370" s="55">
        <v>12</v>
      </c>
      <c r="M370" s="55" t="s">
        <v>54</v>
      </c>
      <c r="AA370" s="206" t="str">
        <f t="shared" ref="AA370:AA380" ca="1" si="131">INDIRECT(ADDRESS(ROW()+N_Offset_M,COLUMN(A370)+(N_SpracheAuswahl)*26,,,"Text"))</f>
        <v>Abrechnungsdatum</v>
      </c>
      <c r="AB370" s="206"/>
      <c r="AC370" s="206"/>
      <c r="AD370" s="63"/>
      <c r="AE370" s="295"/>
      <c r="AF370" s="206"/>
      <c r="AG370" s="206"/>
      <c r="AH370" s="206"/>
      <c r="AI370" s="301"/>
    </row>
    <row r="371" spans="1:35" hidden="1" x14ac:dyDescent="0.25">
      <c r="A371" s="159" t="str">
        <f ca="1">AA371</f>
        <v>Versichertennummer (AHV-Nr.)</v>
      </c>
      <c r="B371" s="159"/>
      <c r="C371" s="159"/>
      <c r="E371" s="172" t="str">
        <f>'  B  '!C40</f>
        <v/>
      </c>
      <c r="F371" s="159"/>
      <c r="G371" s="159"/>
      <c r="H371" s="159"/>
      <c r="I371" s="159"/>
      <c r="J371" s="160">
        <f t="shared" si="130"/>
        <v>13</v>
      </c>
      <c r="K371" s="55">
        <v>13</v>
      </c>
      <c r="M371" s="55" t="s">
        <v>54</v>
      </c>
      <c r="N371" s="55" t="b">
        <f>'  B  '!C61=0</f>
        <v>1</v>
      </c>
      <c r="AA371" s="206" t="str">
        <f t="shared" ca="1" si="131"/>
        <v>Versichertennummer (AHV-Nr.)</v>
      </c>
      <c r="AB371" s="206"/>
      <c r="AC371" s="206"/>
      <c r="AD371" s="63"/>
      <c r="AE371" s="206"/>
      <c r="AF371" s="206"/>
      <c r="AG371" s="206"/>
      <c r="AH371" s="206"/>
      <c r="AI371" s="206"/>
    </row>
    <row r="372" spans="1:35" hidden="1" x14ac:dyDescent="0.25">
      <c r="A372" s="200" t="str">
        <f ca="1">AA372</f>
        <v>Text</v>
      </c>
      <c r="B372" s="201"/>
      <c r="C372" s="201"/>
      <c r="D372" s="200"/>
      <c r="E372" s="250"/>
      <c r="F372" s="201"/>
      <c r="G372" s="200" t="str">
        <f ca="1">AG372</f>
        <v>Anzahl / %</v>
      </c>
      <c r="H372" s="200" t="str">
        <f ca="1">AH372</f>
        <v>Ansatz / Basis</v>
      </c>
      <c r="I372" s="202" t="str">
        <f ca="1">AI372</f>
        <v>Betrag</v>
      </c>
      <c r="J372" s="160">
        <f t="shared" ca="1" si="130"/>
        <v>14</v>
      </c>
      <c r="K372" s="55">
        <v>14</v>
      </c>
      <c r="L372" s="55" t="s">
        <v>36</v>
      </c>
      <c r="M372" s="55" t="s">
        <v>54</v>
      </c>
      <c r="AA372" s="206" t="str">
        <f t="shared" ca="1" si="131"/>
        <v>Text</v>
      </c>
      <c r="AB372" s="206"/>
      <c r="AC372" s="206"/>
      <c r="AD372" s="206"/>
      <c r="AE372" s="63"/>
      <c r="AF372" s="206"/>
      <c r="AG372" s="206" t="str">
        <f ca="1">INDIRECT(ADDRESS(ROW()+N_Offset_M,COLUMN(G372)+(N_SpracheAuswahl)*26,,,"Text"))</f>
        <v>Anzahl / %</v>
      </c>
      <c r="AH372" s="206" t="str">
        <f ca="1">INDIRECT(ADDRESS(ROW()+N_Offset_M,COLUMN(H372)+(N_SpracheAuswahl)*26,,,"Text"))</f>
        <v>Ansatz / Basis</v>
      </c>
      <c r="AI372" s="314" t="str">
        <f ca="1">INDIRECT(ADDRESS(ROW()+N_Offset_M,COLUMN(I372)+(N_SpracheAuswahl)*26,,,"Text"))</f>
        <v>Betrag</v>
      </c>
    </row>
    <row r="373" spans="1:35" hidden="1" x14ac:dyDescent="0.25">
      <c r="A373" s="159" t="str">
        <f ca="1">AA373</f>
        <v>Monatslohn</v>
      </c>
      <c r="B373" s="159"/>
      <c r="C373" s="159"/>
      <c r="D373" s="159"/>
      <c r="E373" s="159"/>
      <c r="F373" s="159"/>
      <c r="H373" s="203">
        <f ca="1">'  B  '!G59</f>
        <v>0</v>
      </c>
      <c r="I373" s="161">
        <f ca="1">'  B  '!G59/P2*(P2-SUM(U264:V294))</f>
        <v>0</v>
      </c>
      <c r="J373" s="160">
        <f t="shared" ca="1" si="130"/>
        <v>14</v>
      </c>
      <c r="K373" s="55">
        <v>15</v>
      </c>
      <c r="AA373" s="206" t="str">
        <f t="shared" ca="1" si="131"/>
        <v>Monatslohn</v>
      </c>
      <c r="AB373" s="206"/>
      <c r="AC373" s="206"/>
      <c r="AD373" s="206"/>
      <c r="AE373" s="206"/>
      <c r="AF373" s="206"/>
      <c r="AG373" s="63"/>
      <c r="AH373" s="203"/>
      <c r="AI373" s="296"/>
    </row>
    <row r="374" spans="1:35" hidden="1" x14ac:dyDescent="0.25">
      <c r="A374" s="159" t="str">
        <f ca="1">AA374</f>
        <v>Stundenlohn</v>
      </c>
      <c r="B374" s="159"/>
      <c r="C374" s="159"/>
      <c r="D374" s="159"/>
      <c r="F374" s="204"/>
      <c r="G374" s="162">
        <f ca="1">IF(N_LohnartAuswahl=2,P28+P29+('  B  '!C61=0)*P30*Berechnungen!B20,0)</f>
        <v>0</v>
      </c>
      <c r="H374" s="205">
        <f ca="1">IF(N_LohnartAuswahl=2,'  B  '!H59,0)</f>
        <v>0</v>
      </c>
      <c r="I374" s="161">
        <f ca="1">IF(N_LohnartAuswahl=2,H374*G374,0)</f>
        <v>0</v>
      </c>
      <c r="J374" s="160">
        <f t="shared" ca="1" si="130"/>
        <v>14</v>
      </c>
      <c r="K374" s="55">
        <v>16</v>
      </c>
      <c r="N374" s="87"/>
      <c r="R374" s="163"/>
      <c r="AA374" s="206" t="str">
        <f t="shared" ca="1" si="131"/>
        <v>Stundenlohn</v>
      </c>
      <c r="AB374" s="206"/>
      <c r="AC374" s="206"/>
      <c r="AD374" s="206"/>
      <c r="AE374" s="63"/>
      <c r="AF374" s="207"/>
      <c r="AG374" s="302"/>
      <c r="AH374" s="205"/>
      <c r="AI374" s="296"/>
    </row>
    <row r="375" spans="1:35" hidden="1" x14ac:dyDescent="0.25">
      <c r="A375" s="159" t="str">
        <f ca="1">AA375&amp;IF(N_Auszahlung_13_Auswahl=2,IF(MONTH(P1)=6,", "&amp;AB375,IF(MONTH(P1)=12,", "&amp;AC375,"")),"")</f>
        <v>13. Monatslohn</v>
      </c>
      <c r="B375" s="159"/>
      <c r="C375" s="159"/>
      <c r="D375" s="159"/>
      <c r="E375" s="159"/>
      <c r="F375" s="159"/>
      <c r="H375" s="203">
        <f ca="1">IF(N_Auszahlung_13_Auswahl&lt;3,HLOOKUP(MONTH(P1),Berechnungen!O16:Z20,N_Auszahlung_13_Auswahl+3,0),0)</f>
        <v>0</v>
      </c>
      <c r="I375" s="161">
        <f ca="1">ROUND(2*H375,1)/2</f>
        <v>0</v>
      </c>
      <c r="J375" s="160">
        <f t="shared" ca="1" si="130"/>
        <v>14</v>
      </c>
      <c r="K375" s="55">
        <v>17</v>
      </c>
      <c r="AA375" s="206" t="str">
        <f t="shared" ca="1" si="131"/>
        <v>13. Monatslohn</v>
      </c>
      <c r="AB375" s="206" t="str">
        <f ca="1">INDIRECT(ADDRESS(ROW()+N_Offset_M,COLUMN(B375)+(N_SpracheAuswahl)*26,,,"Text"))</f>
        <v>Anteil Juni</v>
      </c>
      <c r="AC375" s="206" t="str">
        <f ca="1">INDIRECT(ADDRESS(ROW()+N_Offset_M,COLUMN(C375)+(N_SpracheAuswahl)*26,,,"Text"))</f>
        <v>Anteil Dezember</v>
      </c>
      <c r="AD375" s="206"/>
      <c r="AE375" s="206"/>
      <c r="AF375" s="206"/>
      <c r="AG375" s="63"/>
      <c r="AH375" s="203"/>
      <c r="AI375" s="296"/>
    </row>
    <row r="376" spans="1:35" hidden="1" x14ac:dyDescent="0.25">
      <c r="A376" s="159" t="str">
        <f ca="1">AA376</f>
        <v>Überstunden</v>
      </c>
      <c r="B376" s="159"/>
      <c r="C376" s="159"/>
      <c r="D376" s="159"/>
      <c r="F376" s="204"/>
      <c r="G376" s="162">
        <f>I36</f>
        <v>0</v>
      </c>
      <c r="H376" s="205">
        <f ca="1">'  B  '!G64</f>
        <v>0</v>
      </c>
      <c r="I376" s="161">
        <f ca="1">ROUND(2*(H376*G376),1)/2</f>
        <v>0</v>
      </c>
      <c r="J376" s="160">
        <f t="shared" ca="1" si="130"/>
        <v>14</v>
      </c>
      <c r="K376" s="55">
        <v>18</v>
      </c>
      <c r="R376" s="163"/>
      <c r="AA376" s="206" t="str">
        <f t="shared" ca="1" si="131"/>
        <v>Überstunden</v>
      </c>
      <c r="AB376" s="206"/>
      <c r="AC376" s="206"/>
      <c r="AD376" s="206"/>
      <c r="AE376" s="63"/>
      <c r="AF376" s="207"/>
      <c r="AG376" s="302"/>
      <c r="AH376" s="205"/>
      <c r="AI376" s="296"/>
    </row>
    <row r="377" spans="1:35" hidden="1" x14ac:dyDescent="0.25">
      <c r="A377" s="206" t="str">
        <f ca="1">AA377</f>
        <v>Nachtpauschale</v>
      </c>
      <c r="B377" s="206"/>
      <c r="C377" s="206"/>
      <c r="D377" s="206"/>
      <c r="F377" s="207"/>
      <c r="G377" s="162">
        <f ca="1">IF(N_LohnartAuswahl=2,P30,0)</f>
        <v>0</v>
      </c>
      <c r="H377" s="205">
        <f>'  B  '!C61</f>
        <v>0</v>
      </c>
      <c r="I377" s="161">
        <f ca="1">IF(N_LohnartAuswahl=1,0,H377*G377)</f>
        <v>0</v>
      </c>
      <c r="J377" s="160">
        <f t="shared" ca="1" si="130"/>
        <v>14</v>
      </c>
      <c r="K377" s="55">
        <v>19</v>
      </c>
      <c r="R377" s="163"/>
      <c r="AA377" s="206" t="str">
        <f t="shared" ca="1" si="131"/>
        <v>Nachtpauschale</v>
      </c>
      <c r="AB377" s="206"/>
      <c r="AC377" s="206"/>
      <c r="AD377" s="206"/>
      <c r="AE377" s="63"/>
      <c r="AF377" s="207"/>
      <c r="AG377" s="302"/>
      <c r="AH377" s="205"/>
      <c r="AI377" s="296"/>
    </row>
    <row r="378" spans="1:35" hidden="1" x14ac:dyDescent="0.25">
      <c r="A378" s="159" t="str">
        <f ca="1">AA378</f>
        <v>Lohnfortzahlung bei Arbeitsunfähigkeit</v>
      </c>
      <c r="B378" s="159"/>
      <c r="C378" s="159"/>
      <c r="D378" s="159"/>
      <c r="F378" s="164"/>
      <c r="G378" s="162"/>
      <c r="H378" s="274"/>
      <c r="I378" s="161">
        <f ca="1">ROUND(IF(N_LohnartAuswahl=1,-CA298,CF298)*2,1)/2</f>
        <v>0</v>
      </c>
      <c r="J378" s="160">
        <f t="shared" ca="1" si="130"/>
        <v>14</v>
      </c>
      <c r="K378" s="55">
        <v>20</v>
      </c>
      <c r="R378" s="163"/>
      <c r="AA378" s="206" t="str">
        <f t="shared" ca="1" si="131"/>
        <v>Lohnfortzahlung bei Arbeitsunfähigkeit</v>
      </c>
      <c r="AB378" s="206"/>
      <c r="AC378" s="206"/>
      <c r="AD378" s="206"/>
      <c r="AE378" s="63"/>
      <c r="AF378" s="303"/>
      <c r="AG378" s="302"/>
      <c r="AH378" s="274"/>
      <c r="AI378" s="296"/>
    </row>
    <row r="379" spans="1:35" hidden="1" x14ac:dyDescent="0.25">
      <c r="A379" s="159"/>
      <c r="B379" s="159"/>
      <c r="C379" s="159"/>
      <c r="D379" s="159"/>
      <c r="F379" s="164"/>
      <c r="G379" s="162"/>
      <c r="H379" s="166"/>
      <c r="I379" s="161"/>
      <c r="J379" s="160">
        <f t="shared" ca="1" si="130"/>
        <v>14</v>
      </c>
      <c r="K379" s="55">
        <v>21</v>
      </c>
      <c r="L379" s="55" t="s">
        <v>525</v>
      </c>
      <c r="M379" s="275" t="str">
        <f ca="1">IF(NOT(I378=0),"F","")</f>
        <v/>
      </c>
      <c r="R379" s="163"/>
      <c r="AA379" s="206">
        <f t="shared" ca="1" si="131"/>
        <v>0</v>
      </c>
      <c r="AB379" s="206"/>
      <c r="AC379" s="206"/>
      <c r="AD379" s="206"/>
      <c r="AE379" s="63"/>
      <c r="AF379" s="303"/>
      <c r="AG379" s="302"/>
      <c r="AH379" s="166"/>
      <c r="AI379" s="296"/>
    </row>
    <row r="380" spans="1:35" hidden="1" x14ac:dyDescent="0.25">
      <c r="A380" s="159" t="str">
        <f ca="1">AA380</f>
        <v>Ferienentschädigung</v>
      </c>
      <c r="B380" s="159"/>
      <c r="C380" s="159"/>
      <c r="D380" s="159"/>
      <c r="F380" s="164"/>
      <c r="G380" s="564">
        <f ca="1">(N_Ferien_ArtAuszahlung_Auswahl=1)*'  B  '!C62+(N_Ferien_ArtAuszahlung_Auswahl=2)*(AT263-AT294)*N_ArbeitsstundenSollProKT</f>
        <v>0</v>
      </c>
      <c r="H380" s="205">
        <f ca="1">(N_Ferien_ArtAuszahlung_Auswahl=1)*(N_LohnartAuswahl=2)*SUM(I374,I376:I378)+(N_Ferien_ArtAuszahlung_Auswahl=2)*(N_LohnartAuswahl=2)*'  B  '!H59</f>
        <v>0</v>
      </c>
      <c r="I380" s="161">
        <f ca="1">ROUND((G380*H380)*2,1)/2</f>
        <v>0</v>
      </c>
      <c r="J380" s="160">
        <f t="shared" ca="1" si="130"/>
        <v>14</v>
      </c>
      <c r="K380" s="55">
        <v>22</v>
      </c>
      <c r="R380" s="163"/>
      <c r="AA380" s="206" t="str">
        <f t="shared" ca="1" si="131"/>
        <v>Ferienentschädigung</v>
      </c>
      <c r="AB380" s="206"/>
      <c r="AC380" s="206"/>
      <c r="AD380" s="206"/>
      <c r="AE380" s="63"/>
      <c r="AF380" s="303"/>
      <c r="AG380" s="304"/>
      <c r="AH380" s="205"/>
      <c r="AI380" s="296"/>
    </row>
    <row r="381" spans="1:35" hidden="1" x14ac:dyDescent="0.25">
      <c r="A381" s="159"/>
      <c r="B381" s="159"/>
      <c r="C381" s="159"/>
      <c r="D381" s="159"/>
      <c r="F381" s="164"/>
      <c r="G381" s="564"/>
      <c r="H381" s="205"/>
      <c r="I381" s="161"/>
      <c r="J381" s="160">
        <f t="shared" ca="1" si="130"/>
        <v>14</v>
      </c>
      <c r="K381" s="55">
        <v>23</v>
      </c>
      <c r="M381" s="275" t="str">
        <f ca="1">IF(SUM(I382:I385)=0,"","F")</f>
        <v/>
      </c>
      <c r="R381" s="163"/>
      <c r="AA381" s="206"/>
      <c r="AB381" s="206"/>
      <c r="AC381" s="206"/>
      <c r="AD381" s="206"/>
      <c r="AE381" s="63"/>
      <c r="AF381" s="303"/>
      <c r="AG381" s="304"/>
      <c r="AH381" s="205"/>
      <c r="AI381" s="296"/>
    </row>
    <row r="382" spans="1:35" hidden="1" x14ac:dyDescent="0.25">
      <c r="A382" s="206" t="str">
        <f ca="1">AA382</f>
        <v>Taggelder der Unfallversicherung</v>
      </c>
      <c r="B382" s="159"/>
      <c r="C382" s="159"/>
      <c r="D382" s="159"/>
      <c r="F382" s="159"/>
      <c r="G382" s="159"/>
      <c r="H382" s="159"/>
      <c r="I382" s="266">
        <f ca="1">IF(ISNUMBER(I33),I33,0)-IF(AND(ISNUMBER(I33),VLOOKUP('  B  '!C$65,A_JaNein_Auswahl,2,0)=1),ROUND(2*I33/13,1)/2,0)</f>
        <v>0</v>
      </c>
      <c r="J382" s="160">
        <f t="shared" ca="1" si="130"/>
        <v>14</v>
      </c>
      <c r="K382" s="55">
        <v>24</v>
      </c>
      <c r="AA382" s="206" t="str">
        <f ca="1">INDIRECT(ADDRESS(ROW()+N_Offset_M,COLUMN(A382)+(N_SpracheAuswahl)*26,,,"Text"))</f>
        <v>Taggelder der Unfallversicherung</v>
      </c>
      <c r="AB382" s="206"/>
      <c r="AC382" s="206"/>
      <c r="AD382" s="206"/>
      <c r="AE382" s="63"/>
      <c r="AF382" s="206"/>
      <c r="AG382" s="206"/>
      <c r="AH382" s="206"/>
      <c r="AI382" s="266"/>
    </row>
    <row r="383" spans="1:35" hidden="1" x14ac:dyDescent="0.25">
      <c r="A383" s="206" t="str">
        <f ca="1">AA383</f>
        <v>Taggelder der Krankenversicherung</v>
      </c>
      <c r="B383" s="159"/>
      <c r="C383" s="159"/>
      <c r="D383" s="159"/>
      <c r="F383" s="159"/>
      <c r="G383" s="159"/>
      <c r="H383" s="159"/>
      <c r="I383" s="266">
        <f ca="1">IF(ISNUMBER(I35),I35,0)-IF(AND(ISNUMBER(I35),VLOOKUP('  B  '!C$65,A_JaNein_Auswahl,2,0)=1),ROUND(2*I35/13,1)/2,0)</f>
        <v>0</v>
      </c>
      <c r="J383" s="160">
        <f t="shared" ca="1" si="130"/>
        <v>14</v>
      </c>
      <c r="K383" s="55">
        <v>25</v>
      </c>
      <c r="AA383" s="206" t="str">
        <f ca="1">INDIRECT(ADDRESS(ROW()+N_Offset_M,COLUMN(A383)+(N_SpracheAuswahl)*26,,,"Text"))</f>
        <v>Taggelder der Krankenversicherung</v>
      </c>
      <c r="AB383" s="206"/>
      <c r="AC383" s="206"/>
      <c r="AD383" s="206"/>
      <c r="AE383" s="63"/>
      <c r="AF383" s="206"/>
      <c r="AG383" s="206"/>
      <c r="AH383" s="206"/>
      <c r="AI383" s="266"/>
    </row>
    <row r="384" spans="1:35" hidden="1" x14ac:dyDescent="0.25">
      <c r="A384" s="206" t="str">
        <f ca="1">AA384</f>
        <v>Anteil 13. Monatslohn für Taggelder</v>
      </c>
      <c r="B384" s="159"/>
      <c r="C384" s="159"/>
      <c r="D384" s="159"/>
      <c r="F384" s="159"/>
      <c r="G384" s="159"/>
      <c r="H384" s="159"/>
      <c r="I384" s="266">
        <f ca="1">IF(AND(ISNUMBER(I33),VLOOKUP('  B  '!C$65,A_JaNein_Auswahl,2,0)=1),ROUND(2*I33/13,1)/2,0)+IF(AND(ISNUMBER(I35),VLOOKUP('  B  '!C$65,A_JaNein_Auswahl,2,0)=1),ROUND(2*I35/13,1)/2,0)</f>
        <v>0</v>
      </c>
      <c r="J384" s="160">
        <f t="shared" ca="1" si="130"/>
        <v>14</v>
      </c>
      <c r="K384" s="55">
        <v>26</v>
      </c>
      <c r="AA384" s="206" t="str">
        <f ca="1">INDIRECT(ADDRESS(ROW()+N_Offset_M,COLUMN(A384)+(N_SpracheAuswahl)*26,,,"Text"))</f>
        <v>Anteil 13. Monatslohn für Taggelder</v>
      </c>
      <c r="AB384" s="206"/>
      <c r="AC384" s="206"/>
      <c r="AD384" s="206"/>
      <c r="AE384" s="63"/>
      <c r="AF384" s="206"/>
      <c r="AG384" s="206"/>
      <c r="AH384" s="206"/>
      <c r="AI384" s="266"/>
    </row>
    <row r="385" spans="1:35" hidden="1" x14ac:dyDescent="0.25">
      <c r="A385" s="159" t="str">
        <f ca="1">AA385</f>
        <v>Kinder-/Ausbildungszulage</v>
      </c>
      <c r="B385" s="159"/>
      <c r="C385" s="159"/>
      <c r="D385" s="159"/>
      <c r="F385" s="159"/>
      <c r="G385" s="159"/>
      <c r="H385" s="205">
        <f>I37</f>
        <v>0</v>
      </c>
      <c r="I385" s="169">
        <f ca="1">MAX(0,MIN(P$1+P$2-1,N_Anstellung_Ende)-MAX(P$1,N_Anstellung_Beginn)+1)/P$2*H385</f>
        <v>0</v>
      </c>
      <c r="J385" s="160">
        <f t="shared" ca="1" si="130"/>
        <v>14</v>
      </c>
      <c r="K385" s="55">
        <v>27</v>
      </c>
      <c r="AA385" s="206" t="str">
        <f ca="1">INDIRECT(ADDRESS(ROW()+N_Offset_M,COLUMN(A385)+(N_SpracheAuswahl)*26,,,"Text"))</f>
        <v>Kinder-/Ausbildungszulage</v>
      </c>
      <c r="AB385" s="206"/>
      <c r="AC385" s="206"/>
      <c r="AD385" s="206"/>
      <c r="AE385" s="63"/>
      <c r="AF385" s="206"/>
      <c r="AG385" s="206"/>
      <c r="AH385" s="197"/>
      <c r="AI385" s="266"/>
    </row>
    <row r="386" spans="1:35" hidden="1" x14ac:dyDescent="0.25">
      <c r="A386" s="159"/>
      <c r="B386" s="159"/>
      <c r="C386" s="159"/>
      <c r="D386" s="159"/>
      <c r="F386" s="159"/>
      <c r="G386" s="159"/>
      <c r="H386" s="205"/>
      <c r="I386" s="169"/>
      <c r="J386" s="160">
        <f t="shared" ca="1" si="130"/>
        <v>14</v>
      </c>
      <c r="K386" s="55">
        <v>28</v>
      </c>
      <c r="M386" s="294" t="str">
        <f ca="1">IF(SUM(I388:I400)=0,"","F")</f>
        <v/>
      </c>
      <c r="AA386" s="206"/>
      <c r="AB386" s="206"/>
      <c r="AC386" s="206"/>
      <c r="AD386" s="206"/>
      <c r="AE386" s="63"/>
      <c r="AF386" s="206"/>
      <c r="AG386" s="206"/>
      <c r="AH386" s="197"/>
      <c r="AI386" s="266"/>
    </row>
    <row r="387" spans="1:35" hidden="1" x14ac:dyDescent="0.25">
      <c r="A387" s="208" t="str">
        <f ca="1">AA387</f>
        <v>Korrekturen</v>
      </c>
      <c r="B387" s="159"/>
      <c r="C387" s="159"/>
      <c r="D387" s="159"/>
      <c r="F387" s="164"/>
      <c r="G387" s="162"/>
      <c r="H387" s="166"/>
      <c r="I387" s="161"/>
      <c r="J387" s="160">
        <f t="shared" ca="1" si="130"/>
        <v>14</v>
      </c>
      <c r="K387" s="55">
        <v>29</v>
      </c>
      <c r="L387" s="55" t="s">
        <v>525</v>
      </c>
      <c r="M387" s="275" t="str">
        <f ca="1">IF(SUM(I388:I400)=0,"","F")</f>
        <v/>
      </c>
      <c r="N387" s="61"/>
      <c r="R387" s="163"/>
      <c r="AA387" s="208" t="str">
        <f ca="1">INDIRECT(ADDRESS(ROW()+N_Offset_M,COLUMN(A387)+(N_SpracheAuswahl)*26,,,"Text"))</f>
        <v>Korrekturen</v>
      </c>
      <c r="AB387" s="206"/>
      <c r="AC387" s="206"/>
      <c r="AD387" s="206"/>
      <c r="AE387" s="63"/>
      <c r="AF387" s="303"/>
      <c r="AG387" s="302"/>
      <c r="AH387" s="166"/>
      <c r="AI387" s="296"/>
    </row>
    <row r="388" spans="1:35" hidden="1" x14ac:dyDescent="0.25">
      <c r="A388" s="206" t="str">
        <f ca="1">"……"&amp;N_Lohnart</f>
        <v>……Monatslohn</v>
      </c>
      <c r="B388" s="159"/>
      <c r="C388" s="159"/>
      <c r="F388" s="159"/>
      <c r="G388" s="159"/>
      <c r="H388" s="197"/>
      <c r="I388" s="161">
        <f ca="1">IF(P315=1,F315,0)</f>
        <v>0</v>
      </c>
      <c r="J388" s="160">
        <f t="shared" ca="1" si="130"/>
        <v>14</v>
      </c>
      <c r="K388" s="55">
        <v>30</v>
      </c>
      <c r="N388" s="87"/>
      <c r="R388" s="163"/>
      <c r="AA388" s="206"/>
      <c r="AB388" s="206"/>
      <c r="AC388" s="206"/>
      <c r="AD388" s="63"/>
      <c r="AE388" s="63"/>
      <c r="AF388" s="206"/>
      <c r="AG388" s="206"/>
      <c r="AH388" s="197"/>
      <c r="AI388" s="296"/>
    </row>
    <row r="389" spans="1:35" hidden="1" x14ac:dyDescent="0.25">
      <c r="A389" s="159" t="str">
        <f ca="1">"      "&amp;IF(P315=1,G315,"")</f>
        <v xml:space="preserve">      </v>
      </c>
      <c r="B389" s="159"/>
      <c r="C389" s="159"/>
      <c r="D389" s="159"/>
      <c r="F389" s="159"/>
      <c r="G389" s="159"/>
      <c r="H389" s="197"/>
      <c r="I389" s="161"/>
      <c r="J389" s="160">
        <f t="shared" ca="1" si="130"/>
        <v>14</v>
      </c>
      <c r="K389" s="55">
        <v>31</v>
      </c>
      <c r="L389" s="55" t="s">
        <v>525</v>
      </c>
      <c r="M389" s="275" t="str">
        <f ca="1">IF(AND(NOT(I388=0),LEN(A389)&gt;7),"F","")</f>
        <v/>
      </c>
      <c r="R389" s="163"/>
      <c r="AA389" s="206"/>
      <c r="AB389" s="206"/>
      <c r="AC389" s="206"/>
      <c r="AD389" s="206"/>
      <c r="AE389" s="63"/>
      <c r="AF389" s="206"/>
      <c r="AG389" s="206"/>
      <c r="AH389" s="197"/>
      <c r="AI389" s="296"/>
    </row>
    <row r="390" spans="1:35" hidden="1" x14ac:dyDescent="0.25">
      <c r="A390" s="206" t="str">
        <f ca="1">"……"&amp;AA390</f>
        <v>……Nachtpauschale</v>
      </c>
      <c r="B390" s="159"/>
      <c r="C390" s="159"/>
      <c r="F390" s="197"/>
      <c r="G390" s="161">
        <f ca="1">IF(P316=1,F316*(N_LohnartAuswahl=2),0)</f>
        <v>0</v>
      </c>
      <c r="H390" s="203">
        <f>'  B  '!C61</f>
        <v>0</v>
      </c>
      <c r="I390" s="161">
        <f ca="1">ROUND((G390*H390)*2,1)/2</f>
        <v>0</v>
      </c>
      <c r="J390" s="160">
        <f t="shared" ca="1" si="130"/>
        <v>14</v>
      </c>
      <c r="K390" s="55">
        <v>32</v>
      </c>
      <c r="R390" s="163"/>
      <c r="AA390" s="206" t="str">
        <f ca="1">INDIRECT(ADDRESS(ROW()+N_Offset_M,COLUMN(A390)+(N_SpracheAuswahl)*26,,,"Text"))</f>
        <v>Nachtpauschale</v>
      </c>
      <c r="AB390" s="206"/>
      <c r="AC390" s="206"/>
      <c r="AD390" s="63"/>
      <c r="AE390" s="63"/>
      <c r="AF390" s="197"/>
      <c r="AG390" s="296"/>
      <c r="AH390" s="203"/>
      <c r="AI390" s="296"/>
    </row>
    <row r="391" spans="1:35" hidden="1" x14ac:dyDescent="0.25">
      <c r="A391" s="159" t="str">
        <f ca="1">"      "&amp;IF(P316=1,G316,"")</f>
        <v xml:space="preserve">      </v>
      </c>
      <c r="B391" s="159"/>
      <c r="C391" s="159"/>
      <c r="D391" s="159"/>
      <c r="F391" s="197"/>
      <c r="G391" s="159"/>
      <c r="H391" s="197"/>
      <c r="I391" s="161"/>
      <c r="J391" s="160">
        <f t="shared" ca="1" si="130"/>
        <v>14</v>
      </c>
      <c r="K391" s="55">
        <v>33</v>
      </c>
      <c r="L391" s="55" t="s">
        <v>525</v>
      </c>
      <c r="M391" s="275" t="str">
        <f ca="1">IF(AND(NOT(I390=0),LEN(A391)&gt;7),"F","")</f>
        <v/>
      </c>
      <c r="R391" s="163"/>
      <c r="AA391" s="206"/>
      <c r="AB391" s="206"/>
      <c r="AC391" s="206"/>
      <c r="AD391" s="206"/>
      <c r="AE391" s="63"/>
      <c r="AF391" s="197"/>
      <c r="AG391" s="206"/>
      <c r="AH391" s="197"/>
      <c r="AI391" s="296"/>
    </row>
    <row r="392" spans="1:35" hidden="1" x14ac:dyDescent="0.25">
      <c r="A392" s="206" t="str">
        <f ca="1">"……"&amp;AA392</f>
        <v>……Ferienentschädigung auf Korrekturen</v>
      </c>
      <c r="B392" s="159"/>
      <c r="C392" s="159"/>
      <c r="D392" s="172"/>
      <c r="F392" s="164"/>
      <c r="G392" s="165">
        <f ca="1">IF(ISERROR(N_Ferien_ArtAuszahlung_Auswahl),0,(N_Ferien_ArtAuszahlung_Auswahl=1)*'  B  '!C62)</f>
        <v>0</v>
      </c>
      <c r="H392" s="205">
        <f ca="1">I388+I390</f>
        <v>0</v>
      </c>
      <c r="I392" s="161">
        <f ca="1">ROUND((G392*H392)*2,1)/2</f>
        <v>0</v>
      </c>
      <c r="J392" s="160">
        <f t="shared" ca="1" si="130"/>
        <v>14</v>
      </c>
      <c r="K392" s="55">
        <v>34</v>
      </c>
      <c r="R392" s="163"/>
      <c r="AA392" s="206" t="str">
        <f ca="1">INDIRECT(ADDRESS(ROW()+N_Offset_M,COLUMN(A392)+(N_SpracheAuswahl)*26,,,"Text"))</f>
        <v>Ferienentschädigung auf Korrekturen</v>
      </c>
      <c r="AB392" s="206"/>
      <c r="AC392" s="206"/>
      <c r="AD392" s="299"/>
      <c r="AE392" s="63"/>
      <c r="AF392" s="303"/>
      <c r="AG392" s="305"/>
      <c r="AH392" s="205"/>
      <c r="AI392" s="296"/>
    </row>
    <row r="393" spans="1:35" hidden="1" x14ac:dyDescent="0.25">
      <c r="A393" s="206" t="str">
        <f ca="1">"…..."&amp;AA393</f>
        <v xml:space="preserve">…...Korrektur Ferienentschädigung </v>
      </c>
      <c r="B393" s="159"/>
      <c r="C393" s="159"/>
      <c r="F393" s="164"/>
      <c r="G393" s="162">
        <f ca="1">IF(P317=1,(N_LohnartAuswahl=2)*(N_Ferien_ArtAuszahlung_Auswahl=2)*F317+(N_LohnartAuswahl=1)*F317,0)</f>
        <v>0</v>
      </c>
      <c r="H393" s="274">
        <f ca="1">(N_LohnartAuswahl=1)*Berechnungen!B12+(N_LohnartAuswahl=2)*'  B  '!H59</f>
        <v>0</v>
      </c>
      <c r="I393" s="161">
        <f ca="1">ROUND((G393*H393)*2,1)/2</f>
        <v>0</v>
      </c>
      <c r="J393" s="160">
        <f t="shared" ca="1" si="130"/>
        <v>14</v>
      </c>
      <c r="K393" s="55">
        <v>35</v>
      </c>
      <c r="R393" s="163"/>
      <c r="AA393" s="206" t="str">
        <f ca="1">INDIRECT(ADDRESS(ROW()+N_Offset_M,COLUMN(A393)+(N_SpracheAuswahl)*26,,,"Text"))</f>
        <v xml:space="preserve">Korrektur Ferienentschädigung </v>
      </c>
      <c r="AB393" s="206"/>
      <c r="AC393" s="206"/>
      <c r="AD393" s="63"/>
      <c r="AE393" s="63"/>
      <c r="AF393" s="303"/>
      <c r="AG393" s="302"/>
      <c r="AH393" s="274"/>
      <c r="AI393" s="296"/>
    </row>
    <row r="394" spans="1:35" hidden="1" x14ac:dyDescent="0.25">
      <c r="A394" s="159" t="str">
        <f ca="1">"      "&amp;IF(P317=1,G317,"")</f>
        <v xml:space="preserve">      </v>
      </c>
      <c r="B394" s="159"/>
      <c r="C394" s="159"/>
      <c r="D394" s="159"/>
      <c r="F394" s="164"/>
      <c r="G394" s="162"/>
      <c r="H394" s="166"/>
      <c r="I394" s="161"/>
      <c r="J394" s="160">
        <f t="shared" ca="1" si="130"/>
        <v>14</v>
      </c>
      <c r="K394" s="55">
        <v>36</v>
      </c>
      <c r="L394" s="55" t="s">
        <v>525</v>
      </c>
      <c r="M394" s="275" t="str">
        <f ca="1">IF(AND(NOT(I393=0),LEN(A394)&gt;7),"F","")</f>
        <v/>
      </c>
      <c r="R394" s="163"/>
      <c r="AA394" s="206"/>
      <c r="AB394" s="206"/>
      <c r="AC394" s="206"/>
      <c r="AD394" s="206"/>
      <c r="AE394" s="63"/>
      <c r="AF394" s="303"/>
      <c r="AG394" s="302"/>
      <c r="AH394" s="166"/>
      <c r="AI394" s="296"/>
    </row>
    <row r="395" spans="1:35" hidden="1" x14ac:dyDescent="0.25">
      <c r="A395" s="208" t="str">
        <f ca="1">"……"&amp;A326</f>
        <v>……Taggelder der Unfallversicherung</v>
      </c>
      <c r="B395" s="159"/>
      <c r="C395" s="159"/>
      <c r="D395" s="159"/>
      <c r="F395" s="159"/>
      <c r="G395" s="159"/>
      <c r="H395" s="159"/>
      <c r="I395" s="169">
        <f ca="1">IF(P326=1,F326,0)</f>
        <v>0</v>
      </c>
      <c r="J395" s="160">
        <f t="shared" ca="1" si="130"/>
        <v>14</v>
      </c>
      <c r="K395" s="55">
        <v>37</v>
      </c>
      <c r="AA395" s="208"/>
      <c r="AB395" s="206"/>
      <c r="AC395" s="206"/>
      <c r="AD395" s="206"/>
      <c r="AE395" s="63"/>
      <c r="AF395" s="206"/>
      <c r="AG395" s="206"/>
      <c r="AH395" s="206"/>
      <c r="AI395" s="266"/>
    </row>
    <row r="396" spans="1:35" hidden="1" x14ac:dyDescent="0.25">
      <c r="A396" s="208" t="str">
        <f ca="1">"      "&amp;IF(P326=1,G326,"")</f>
        <v xml:space="preserve">      </v>
      </c>
      <c r="B396" s="159"/>
      <c r="C396" s="159"/>
      <c r="D396" s="159"/>
      <c r="F396" s="159"/>
      <c r="G396" s="159"/>
      <c r="H396" s="159"/>
      <c r="I396" s="169"/>
      <c r="J396" s="160">
        <f t="shared" ca="1" si="130"/>
        <v>14</v>
      </c>
      <c r="K396" s="55">
        <v>38</v>
      </c>
      <c r="L396" s="55" t="s">
        <v>525</v>
      </c>
      <c r="M396" s="275" t="str">
        <f ca="1">IF(AND(NOT(I395=0),LEN(A396)&gt;7),"F","")</f>
        <v/>
      </c>
      <c r="AA396" s="208"/>
      <c r="AB396" s="206"/>
      <c r="AC396" s="206"/>
      <c r="AD396" s="206"/>
      <c r="AE396" s="63"/>
      <c r="AF396" s="206"/>
      <c r="AG396" s="206"/>
      <c r="AH396" s="206"/>
      <c r="AI396" s="266"/>
    </row>
    <row r="397" spans="1:35" hidden="1" x14ac:dyDescent="0.25">
      <c r="A397" s="208" t="str">
        <f ca="1">"……"&amp;AA327</f>
        <v>……Taggelder der Krankenversicherung</v>
      </c>
      <c r="B397" s="159"/>
      <c r="C397" s="159"/>
      <c r="D397" s="159"/>
      <c r="F397" s="159"/>
      <c r="G397" s="159"/>
      <c r="H397" s="159"/>
      <c r="I397" s="169">
        <f ca="1">IF(P327=1,F327,0)</f>
        <v>0</v>
      </c>
      <c r="J397" s="160">
        <f t="shared" ca="1" si="130"/>
        <v>14</v>
      </c>
      <c r="K397" s="55">
        <v>39</v>
      </c>
      <c r="AA397" s="208"/>
      <c r="AB397" s="206"/>
      <c r="AC397" s="206"/>
      <c r="AD397" s="206"/>
      <c r="AE397" s="63"/>
      <c r="AF397" s="206"/>
      <c r="AG397" s="206"/>
      <c r="AH397" s="206"/>
      <c r="AI397" s="266"/>
    </row>
    <row r="398" spans="1:35" hidden="1" x14ac:dyDescent="0.25">
      <c r="A398" s="208" t="str">
        <f ca="1">"      "&amp;IF(P327=1,G327,"")</f>
        <v xml:space="preserve">      </v>
      </c>
      <c r="B398" s="159"/>
      <c r="C398" s="159"/>
      <c r="D398" s="159"/>
      <c r="F398" s="159"/>
      <c r="G398" s="159"/>
      <c r="H398" s="159"/>
      <c r="I398" s="169"/>
      <c r="J398" s="160">
        <f t="shared" ca="1" si="130"/>
        <v>14</v>
      </c>
      <c r="K398" s="55">
        <v>40</v>
      </c>
      <c r="L398" s="55" t="s">
        <v>525</v>
      </c>
      <c r="M398" s="275" t="str">
        <f ca="1">IF(AND(NOT(I397=0),LEN(A398)&gt;7),"F","")</f>
        <v/>
      </c>
      <c r="AA398" s="208"/>
      <c r="AB398" s="206"/>
      <c r="AC398" s="206"/>
      <c r="AD398" s="206"/>
      <c r="AE398" s="63"/>
      <c r="AF398" s="206"/>
      <c r="AG398" s="206"/>
      <c r="AH398" s="206"/>
      <c r="AI398" s="266"/>
    </row>
    <row r="399" spans="1:35" hidden="1" x14ac:dyDescent="0.25">
      <c r="A399" s="67" t="str">
        <f ca="1">"……"&amp;AA399</f>
        <v>……Kinder-/Ausbildungszulage</v>
      </c>
      <c r="B399" s="159"/>
      <c r="C399" s="159"/>
      <c r="F399" s="159"/>
      <c r="G399" s="159"/>
      <c r="H399" s="197"/>
      <c r="I399" s="169">
        <f ca="1">IF(P325=1,F325,0)</f>
        <v>0</v>
      </c>
      <c r="J399" s="160">
        <f t="shared" ca="1" si="130"/>
        <v>14</v>
      </c>
      <c r="K399" s="55">
        <v>41</v>
      </c>
      <c r="AA399" s="170" t="str">
        <f ca="1">INDIRECT(ADDRESS(ROW()+N_Offset_M,COLUMN(A399)+(N_SpracheAuswahl)*26,,,"Text"))</f>
        <v>Kinder-/Ausbildungszulage</v>
      </c>
      <c r="AB399" s="206"/>
      <c r="AC399" s="206"/>
      <c r="AD399" s="63"/>
      <c r="AE399" s="63"/>
      <c r="AF399" s="206"/>
      <c r="AG399" s="206"/>
      <c r="AH399" s="197"/>
      <c r="AI399" s="266"/>
    </row>
    <row r="400" spans="1:35" hidden="1" x14ac:dyDescent="0.25">
      <c r="A400" s="159" t="str">
        <f ca="1">"      "&amp;IF(P325=1,G325,"")</f>
        <v xml:space="preserve">      </v>
      </c>
      <c r="B400" s="159"/>
      <c r="C400" s="159"/>
      <c r="D400" s="159"/>
      <c r="F400" s="159"/>
      <c r="G400" s="159"/>
      <c r="H400" s="197"/>
      <c r="I400" s="169"/>
      <c r="J400" s="160">
        <f t="shared" ca="1" si="130"/>
        <v>14</v>
      </c>
      <c r="K400" s="55">
        <v>42</v>
      </c>
      <c r="L400" s="55" t="s">
        <v>525</v>
      </c>
      <c r="M400" s="275" t="str">
        <f ca="1">IF(AND(NOT(I399=0),LEN(A400)&gt;7),"F","")</f>
        <v/>
      </c>
      <c r="AA400" s="206"/>
      <c r="AB400" s="206"/>
      <c r="AC400" s="206"/>
      <c r="AD400" s="206"/>
      <c r="AE400" s="63"/>
      <c r="AF400" s="206"/>
      <c r="AG400" s="206"/>
      <c r="AH400" s="197"/>
      <c r="AI400" s="266"/>
    </row>
    <row r="401" spans="1:35" hidden="1" x14ac:dyDescent="0.25">
      <c r="A401" s="159"/>
      <c r="B401" s="159"/>
      <c r="C401" s="159"/>
      <c r="D401" s="159"/>
      <c r="F401" s="164"/>
      <c r="G401" s="162"/>
      <c r="H401" s="166"/>
      <c r="I401" s="161"/>
      <c r="J401" s="160">
        <f t="shared" ca="1" si="130"/>
        <v>14</v>
      </c>
      <c r="K401" s="55">
        <v>43</v>
      </c>
      <c r="M401" s="294" t="str">
        <f ca="1">IF(SUM(I388:I394)=0,"","F")</f>
        <v/>
      </c>
      <c r="R401" s="163"/>
      <c r="AA401" s="206"/>
      <c r="AB401" s="206"/>
      <c r="AC401" s="206"/>
      <c r="AD401" s="206"/>
      <c r="AE401" s="63"/>
      <c r="AF401" s="303"/>
      <c r="AG401" s="302"/>
      <c r="AH401" s="166"/>
      <c r="AI401" s="296"/>
    </row>
    <row r="402" spans="1:35" hidden="1" x14ac:dyDescent="0.25">
      <c r="A402" s="206" t="str">
        <f ca="1">AA402</f>
        <v>Kost und Logis</v>
      </c>
      <c r="B402" s="159"/>
      <c r="C402" s="206"/>
      <c r="D402" s="159"/>
      <c r="F402" s="164"/>
      <c r="G402" s="162"/>
      <c r="H402" s="274">
        <f>I39</f>
        <v>0</v>
      </c>
      <c r="I402" s="169">
        <f ca="1">MAX(0,MIN(P$1+P$2-1,N_Anstellung_Ende)-MAX(P$1,N_Anstellung_Beginn)+1)/P$2*H402</f>
        <v>0</v>
      </c>
      <c r="J402" s="160">
        <f t="shared" ca="1" si="130"/>
        <v>14</v>
      </c>
      <c r="K402" s="55">
        <v>44</v>
      </c>
      <c r="R402" s="163"/>
      <c r="AA402" s="206" t="str">
        <f ca="1">INDIRECT(ADDRESS(ROW()+N_Offset_M,COLUMN(A402)+(N_SpracheAuswahl)*26,,,"Text"))</f>
        <v>Kost und Logis</v>
      </c>
      <c r="AB402" s="206"/>
      <c r="AC402" s="206"/>
      <c r="AD402" s="206"/>
      <c r="AE402" s="63"/>
      <c r="AF402" s="303"/>
      <c r="AG402" s="302"/>
      <c r="AH402" s="166"/>
      <c r="AI402" s="296"/>
    </row>
    <row r="403" spans="1:35" hidden="1" x14ac:dyDescent="0.25">
      <c r="A403" s="206"/>
      <c r="B403" s="159"/>
      <c r="C403" s="206"/>
      <c r="D403" s="159"/>
      <c r="F403" s="164"/>
      <c r="G403" s="162"/>
      <c r="H403" s="166"/>
      <c r="I403" s="161"/>
      <c r="J403" s="160">
        <f t="shared" ca="1" si="130"/>
        <v>15</v>
      </c>
      <c r="K403" s="55">
        <v>45</v>
      </c>
      <c r="M403" s="55" t="s">
        <v>54</v>
      </c>
      <c r="O403" s="56"/>
      <c r="P403" s="56" t="s">
        <v>592</v>
      </c>
      <c r="R403" s="163"/>
      <c r="AA403" s="206"/>
      <c r="AB403" s="206"/>
      <c r="AC403" s="206"/>
      <c r="AD403" s="206"/>
      <c r="AE403" s="63"/>
      <c r="AF403" s="303"/>
      <c r="AG403" s="302"/>
      <c r="AH403" s="166"/>
      <c r="AI403" s="296"/>
    </row>
    <row r="404" spans="1:35" hidden="1" x14ac:dyDescent="0.25">
      <c r="A404" s="195" t="str">
        <f ca="1">AA404</f>
        <v>Bruttolohn</v>
      </c>
      <c r="B404" s="159"/>
      <c r="C404" s="159"/>
      <c r="D404" s="159"/>
      <c r="F404" s="159"/>
      <c r="G404" s="159"/>
      <c r="H404" s="197"/>
      <c r="I404" s="167">
        <f ca="1">SUM(I373:I402)</f>
        <v>0</v>
      </c>
      <c r="J404" s="160">
        <f t="shared" ca="1" si="130"/>
        <v>16</v>
      </c>
      <c r="K404" s="55">
        <v>46</v>
      </c>
      <c r="L404" s="55" t="s">
        <v>37</v>
      </c>
      <c r="M404" s="55" t="s">
        <v>54</v>
      </c>
      <c r="O404" s="56"/>
      <c r="P404" s="602">
        <f ca="1">SUM(I373:I381,I386:I394,I401:I402)</f>
        <v>0</v>
      </c>
      <c r="Q404" s="56"/>
      <c r="R404" s="163"/>
      <c r="AA404" s="206" t="str">
        <f ca="1">INDIRECT(ADDRESS(ROW()+N_Offset_M,COLUMN(A404)+(N_SpracheAuswahl)*26,,,"Text"))</f>
        <v>Bruttolohn</v>
      </c>
      <c r="AB404" s="206"/>
      <c r="AC404" s="206"/>
      <c r="AD404" s="206"/>
      <c r="AE404" s="63"/>
      <c r="AF404" s="206"/>
      <c r="AG404" s="206"/>
      <c r="AH404" s="197"/>
      <c r="AI404" s="266"/>
    </row>
    <row r="405" spans="1:35" hidden="1" x14ac:dyDescent="0.25">
      <c r="A405" s="195"/>
      <c r="B405" s="159"/>
      <c r="C405" s="159"/>
      <c r="D405" s="159"/>
      <c r="F405" s="159"/>
      <c r="G405" s="159"/>
      <c r="H405" s="197"/>
      <c r="I405" s="167"/>
      <c r="J405" s="160">
        <f t="shared" ca="1" si="130"/>
        <v>17</v>
      </c>
      <c r="K405" s="55">
        <v>47</v>
      </c>
      <c r="M405" s="55" t="s">
        <v>54</v>
      </c>
      <c r="O405" s="56"/>
      <c r="R405" s="163"/>
      <c r="AA405" s="206"/>
      <c r="AB405" s="206"/>
      <c r="AC405" s="206"/>
      <c r="AD405" s="206"/>
      <c r="AE405" s="63"/>
      <c r="AF405" s="206"/>
      <c r="AG405" s="206"/>
      <c r="AH405" s="197"/>
      <c r="AI405" s="266"/>
    </row>
    <row r="406" spans="1:35" hidden="1" x14ac:dyDescent="0.25">
      <c r="A406" s="195" t="str">
        <f t="shared" ref="A406:A412" ca="1" si="132">AA406</f>
        <v>Sozialversicherungsabzüge</v>
      </c>
      <c r="B406" s="159"/>
      <c r="C406" s="159"/>
      <c r="D406" s="159"/>
      <c r="F406" s="159"/>
      <c r="G406" s="159"/>
      <c r="H406" s="197"/>
      <c r="I406" s="159"/>
      <c r="J406" s="160">
        <f t="shared" ca="1" si="130"/>
        <v>18</v>
      </c>
      <c r="K406" s="55">
        <v>48</v>
      </c>
      <c r="L406" s="55" t="s">
        <v>36</v>
      </c>
      <c r="M406" s="55" t="s">
        <v>54</v>
      </c>
      <c r="P406" s="56" t="b">
        <f>IF('  B  '!C41=0,FALSE,DATEDIF('  B  '!C41,P1,"y")&gt;=INDEX(A_Pensionsalter,IF(LEN(N_Anrede)&lt;2,1,VLOOKUP(N_Anrede,A_Anrede_Auswahl,2,0)),0))</f>
        <v>0</v>
      </c>
      <c r="Q406" s="633" t="s">
        <v>75</v>
      </c>
      <c r="R406" s="163"/>
      <c r="AA406" s="206" t="str">
        <f t="shared" ref="AA406:AA412" ca="1" si="133">INDIRECT(ADDRESS(ROW()+N_Offset_M,COLUMN(A406)+(N_SpracheAuswahl)*26,,,"Text"))</f>
        <v>Sozialversicherungsabzüge</v>
      </c>
      <c r="AB406" s="206"/>
      <c r="AC406" s="206"/>
      <c r="AD406" s="206"/>
      <c r="AE406" s="63"/>
      <c r="AF406" s="206"/>
      <c r="AG406" s="206"/>
      <c r="AH406" s="197"/>
      <c r="AI406" s="206"/>
    </row>
    <row r="407" spans="1:35" hidden="1" x14ac:dyDescent="0.25">
      <c r="A407" s="159" t="str">
        <f t="shared" ca="1" si="132"/>
        <v>AHV/IV/EO</v>
      </c>
      <c r="B407" s="159"/>
      <c r="C407" s="159"/>
      <c r="D407" s="159"/>
      <c r="F407" s="159"/>
      <c r="G407" s="632">
        <f>'  B  '!D71</f>
        <v>5.2999999999999999E-2</v>
      </c>
      <c r="H407" s="205">
        <f ca="1">MAX(0,P404-P406*N_Pensioniert_Freibetrag)</f>
        <v>0</v>
      </c>
      <c r="I407" s="169">
        <f ca="1">-ROUND((G407*H407)*2,1)/2</f>
        <v>0</v>
      </c>
      <c r="J407" s="160">
        <f t="shared" ca="1" si="130"/>
        <v>18</v>
      </c>
      <c r="K407" s="55">
        <v>49</v>
      </c>
      <c r="P407" s="646">
        <f ca="1">-'  B  '!C71*MAX(0,P404-P406*N_Pensioniert_Freibetrag)</f>
        <v>0</v>
      </c>
      <c r="Q407" s="633" t="s">
        <v>1232</v>
      </c>
      <c r="R407" s="163"/>
      <c r="AA407" s="206" t="str">
        <f t="shared" ca="1" si="133"/>
        <v>AHV/IV/EO</v>
      </c>
      <c r="AB407" s="206"/>
      <c r="AC407" s="206"/>
      <c r="AD407" s="206"/>
      <c r="AE407" s="63"/>
      <c r="AF407" s="206"/>
      <c r="AG407" s="306"/>
      <c r="AH407" s="205"/>
      <c r="AI407" s="266"/>
    </row>
    <row r="408" spans="1:35" hidden="1" x14ac:dyDescent="0.25">
      <c r="A408" s="159" t="str">
        <f t="shared" ca="1" si="132"/>
        <v>Arbeitslosenversicherung (ALV)</v>
      </c>
      <c r="B408" s="159"/>
      <c r="C408" s="159"/>
      <c r="D408" s="159"/>
      <c r="F408" s="159"/>
      <c r="G408" s="168">
        <f>'  B  '!D72*NOT(P406)</f>
        <v>1.0999999999999999E-2</v>
      </c>
      <c r="H408" s="205">
        <f ca="1">P404</f>
        <v>0</v>
      </c>
      <c r="I408" s="169">
        <f ca="1">-ROUND((G408*H408)*2,1)/2</f>
        <v>0</v>
      </c>
      <c r="J408" s="160">
        <f t="shared" ca="1" si="130"/>
        <v>18</v>
      </c>
      <c r="K408" s="55">
        <v>50</v>
      </c>
      <c r="P408" s="646">
        <f ca="1">-NOT(P406)*'  B  '!C72*P404</f>
        <v>0</v>
      </c>
      <c r="Q408" s="633" t="s">
        <v>1233</v>
      </c>
      <c r="R408" s="163"/>
      <c r="AA408" s="206" t="str">
        <f t="shared" ca="1" si="133"/>
        <v>Arbeitslosenversicherung (ALV)</v>
      </c>
      <c r="AB408" s="206"/>
      <c r="AC408" s="206"/>
      <c r="AD408" s="206"/>
      <c r="AE408" s="63"/>
      <c r="AF408" s="206"/>
      <c r="AG408" s="306"/>
      <c r="AH408" s="205"/>
      <c r="AI408" s="266"/>
    </row>
    <row r="409" spans="1:35" hidden="1" x14ac:dyDescent="0.25">
      <c r="A409" s="67" t="str">
        <f t="shared" ca="1" si="132"/>
        <v>Familienausgleichskasse</v>
      </c>
      <c r="B409" s="159"/>
      <c r="C409" s="159"/>
      <c r="D409" s="159"/>
      <c r="F409" s="159"/>
      <c r="G409" s="168">
        <f>'  B  '!D81</f>
        <v>0</v>
      </c>
      <c r="H409" s="205">
        <f ca="1">P404</f>
        <v>0</v>
      </c>
      <c r="I409" s="169">
        <f ca="1">-ROUND((G409*H409)*2,1)/2</f>
        <v>0</v>
      </c>
      <c r="J409" s="160">
        <f t="shared" ca="1" si="130"/>
        <v>18</v>
      </c>
      <c r="K409" s="55">
        <v>51</v>
      </c>
      <c r="P409" s="646">
        <f ca="1">-'  B  '!C81*MAX(0,P404-P406*N_Pensioniert_Freibetrag)</f>
        <v>0</v>
      </c>
      <c r="Q409" s="633" t="s">
        <v>1234</v>
      </c>
      <c r="R409" s="163"/>
      <c r="AA409" s="170" t="str">
        <f t="shared" ca="1" si="133"/>
        <v>Familienausgleichskasse</v>
      </c>
      <c r="AB409" s="206"/>
      <c r="AC409" s="206"/>
      <c r="AD409" s="206"/>
      <c r="AE409" s="63"/>
      <c r="AF409" s="206"/>
      <c r="AG409" s="306"/>
      <c r="AH409" s="205"/>
      <c r="AI409" s="266"/>
    </row>
    <row r="410" spans="1:35" hidden="1" x14ac:dyDescent="0.25">
      <c r="A410" s="159" t="str">
        <f t="shared" ca="1" si="132"/>
        <v>Berufliche Vorsorge (Pensionskassenbeitrag)</v>
      </c>
      <c r="B410" s="159"/>
      <c r="C410" s="159"/>
      <c r="D410" s="159"/>
      <c r="F410" s="159"/>
      <c r="H410" s="209">
        <f>'  B  '!D80</f>
        <v>0</v>
      </c>
      <c r="I410" s="169">
        <f ca="1">-MAX(0,MIN(P$1+P$2-1,N_Anstellung_Ende)-MAX(P$1,N_Anstellung_Beginn)+1)/P$2*H410</f>
        <v>0</v>
      </c>
      <c r="J410" s="160">
        <f t="shared" ca="1" si="130"/>
        <v>18</v>
      </c>
      <c r="K410" s="55">
        <v>52</v>
      </c>
      <c r="P410" s="647">
        <f ca="1">-'  B  '!C80*(MAX(0,MIN(P$1+P$2-1,N_Anstellung_Ende)-MAX(P$1,N_Anstellung_Beginn)+1)/P$2)</f>
        <v>0</v>
      </c>
      <c r="Q410" s="633" t="s">
        <v>1235</v>
      </c>
      <c r="R410" s="163"/>
      <c r="AA410" s="206" t="str">
        <f t="shared" ca="1" si="133"/>
        <v>Berufliche Vorsorge (Pensionskassenbeitrag)</v>
      </c>
      <c r="AB410" s="206"/>
      <c r="AC410" s="206"/>
      <c r="AD410" s="206"/>
      <c r="AE410" s="63"/>
      <c r="AF410" s="206"/>
      <c r="AG410" s="297"/>
      <c r="AH410" s="205"/>
      <c r="AI410" s="266"/>
    </row>
    <row r="411" spans="1:35" hidden="1" x14ac:dyDescent="0.25">
      <c r="A411" s="159" t="str">
        <f t="shared" ca="1" si="132"/>
        <v>Nichtberufsunfallversicherung (NBU)</v>
      </c>
      <c r="B411" s="159"/>
      <c r="C411" s="159"/>
      <c r="D411" s="159"/>
      <c r="F411" s="210"/>
      <c r="G411" s="211">
        <f>'  B  '!D79</f>
        <v>0</v>
      </c>
      <c r="H411" s="205">
        <f ca="1">P404</f>
        <v>0</v>
      </c>
      <c r="I411" s="169">
        <f ca="1">-ROUND((G411*H411)*2,1)/2</f>
        <v>0</v>
      </c>
      <c r="J411" s="160">
        <f t="shared" ca="1" si="130"/>
        <v>18</v>
      </c>
      <c r="K411" s="55">
        <v>53</v>
      </c>
      <c r="P411" s="646">
        <f ca="1">-'  B  '!C79*P404</f>
        <v>0</v>
      </c>
      <c r="Q411" s="633" t="s">
        <v>1236</v>
      </c>
      <c r="R411" s="163"/>
      <c r="AA411" s="206" t="str">
        <f t="shared" ca="1" si="133"/>
        <v>Nichtberufsunfallversicherung (NBU)</v>
      </c>
      <c r="AB411" s="206"/>
      <c r="AC411" s="206"/>
      <c r="AD411" s="206"/>
      <c r="AE411" s="63"/>
      <c r="AF411" s="307"/>
      <c r="AG411" s="298"/>
      <c r="AH411" s="205"/>
      <c r="AI411" s="266"/>
    </row>
    <row r="412" spans="1:35" hidden="1" x14ac:dyDescent="0.25">
      <c r="A412" s="159" t="str">
        <f t="shared" ca="1" si="132"/>
        <v>Krankentaggeldversicherung</v>
      </c>
      <c r="B412" s="159"/>
      <c r="C412" s="159"/>
      <c r="D412" s="159"/>
      <c r="F412" s="210"/>
      <c r="G412" s="211">
        <f>'  B  '!D82</f>
        <v>0</v>
      </c>
      <c r="H412" s="205">
        <f ca="1">P404</f>
        <v>0</v>
      </c>
      <c r="I412" s="169">
        <f ca="1">-ROUND((G412*H412)*2,1)/2</f>
        <v>0</v>
      </c>
      <c r="J412" s="160">
        <f t="shared" ca="1" si="130"/>
        <v>18</v>
      </c>
      <c r="K412" s="55">
        <v>54</v>
      </c>
      <c r="P412" s="646">
        <f ca="1">-'  B  '!C82*P404</f>
        <v>0</v>
      </c>
      <c r="Q412" s="633" t="s">
        <v>1237</v>
      </c>
      <c r="AA412" s="206" t="str">
        <f t="shared" ca="1" si="133"/>
        <v>Krankentaggeldversicherung</v>
      </c>
      <c r="AB412" s="206"/>
      <c r="AC412" s="206"/>
      <c r="AD412" s="206"/>
      <c r="AE412" s="63"/>
      <c r="AF412" s="307"/>
      <c r="AG412" s="298"/>
      <c r="AH412" s="205"/>
      <c r="AI412" s="266"/>
    </row>
    <row r="413" spans="1:35" hidden="1" x14ac:dyDescent="0.25">
      <c r="A413" s="159"/>
      <c r="B413" s="159"/>
      <c r="C413" s="159"/>
      <c r="D413" s="159"/>
      <c r="F413" s="210"/>
      <c r="G413" s="211"/>
      <c r="H413" s="205"/>
      <c r="I413" s="169"/>
      <c r="J413" s="160">
        <f t="shared" ca="1" si="130"/>
        <v>19</v>
      </c>
      <c r="K413" s="55">
        <v>55</v>
      </c>
      <c r="M413" s="55" t="s">
        <v>54</v>
      </c>
      <c r="P413" s="646">
        <f ca="1">-'  B  '!C77*P404-'  B  '!C78*(MAX(0,MIN(P$1+P$2-1,N_Anstellung_Ende)-MAX(P$1,N_Anstellung_Beginn)+1)/P$2)</f>
        <v>0</v>
      </c>
      <c r="Q413" s="633" t="s">
        <v>1238</v>
      </c>
      <c r="AA413" s="206"/>
      <c r="AB413" s="206"/>
      <c r="AC413" s="206"/>
      <c r="AD413" s="206"/>
      <c r="AE413" s="63"/>
      <c r="AF413" s="307"/>
      <c r="AG413" s="298"/>
      <c r="AH413" s="205"/>
      <c r="AI413" s="266"/>
    </row>
    <row r="414" spans="1:35" hidden="1" x14ac:dyDescent="0.25">
      <c r="A414" s="208" t="str">
        <f ca="1">AA414</f>
        <v>Korrekturen Sozialversicherungsbeiträge</v>
      </c>
      <c r="B414" s="159"/>
      <c r="C414" s="159"/>
      <c r="D414" s="159"/>
      <c r="F414" s="210"/>
      <c r="G414" s="211"/>
      <c r="H414" s="205"/>
      <c r="I414" s="169"/>
      <c r="J414" s="160">
        <f t="shared" ca="1" si="130"/>
        <v>19</v>
      </c>
      <c r="K414" s="55">
        <v>56</v>
      </c>
      <c r="L414" s="55" t="s">
        <v>525</v>
      </c>
      <c r="M414" s="294" t="str">
        <f ca="1">IF(SUM(I415:I425)=0,"","F")</f>
        <v/>
      </c>
      <c r="P414" s="633"/>
      <c r="Q414" s="633"/>
      <c r="AA414" s="208" t="str">
        <f ca="1">INDIRECT(ADDRESS(ROW()+N_Offset_M,COLUMN(A414)+(N_SpracheAuswahl)*26,,,"Text"))</f>
        <v>Korrekturen Sozialversicherungsbeiträge</v>
      </c>
      <c r="AB414" s="206"/>
      <c r="AC414" s="206"/>
      <c r="AD414" s="206"/>
      <c r="AE414" s="63"/>
      <c r="AF414" s="307"/>
      <c r="AG414" s="298"/>
      <c r="AH414" s="205"/>
      <c r="AI414" s="266"/>
    </row>
    <row r="415" spans="1:35" hidden="1" x14ac:dyDescent="0.25">
      <c r="A415" s="159" t="str">
        <f ca="1">"……"&amp;AA415</f>
        <v>……AHV/IV/EO Prämien</v>
      </c>
      <c r="B415" s="159"/>
      <c r="C415" s="159"/>
      <c r="D415" s="159"/>
      <c r="F415" s="210"/>
      <c r="G415" s="211"/>
      <c r="H415" s="205"/>
      <c r="I415" s="169">
        <f ca="1">IF(P319=1,F319,0)</f>
        <v>0</v>
      </c>
      <c r="J415" s="160">
        <f t="shared" ca="1" si="130"/>
        <v>19</v>
      </c>
      <c r="K415" s="55">
        <v>57</v>
      </c>
      <c r="P415" s="633"/>
      <c r="Q415" s="633"/>
      <c r="AA415" s="206" t="str">
        <f ca="1">INDIRECT(ADDRESS(ROW()+N_Offset_M,COLUMN(A415)+(N_SpracheAuswahl)*26,,,"Text"))</f>
        <v>AHV/IV/EO Prämien</v>
      </c>
      <c r="AB415" s="206"/>
      <c r="AC415" s="206"/>
      <c r="AD415" s="206"/>
      <c r="AE415" s="63"/>
      <c r="AF415" s="307"/>
      <c r="AG415" s="298"/>
      <c r="AH415" s="205"/>
      <c r="AI415" s="266"/>
    </row>
    <row r="416" spans="1:35" hidden="1" x14ac:dyDescent="0.25">
      <c r="A416" s="159" t="str">
        <f ca="1">"      "&amp;IF(P319=1,G319,"")</f>
        <v xml:space="preserve">      </v>
      </c>
      <c r="B416" s="159"/>
      <c r="C416" s="159"/>
      <c r="D416" s="159"/>
      <c r="F416" s="210"/>
      <c r="G416" s="211"/>
      <c r="H416" s="205"/>
      <c r="I416" s="169"/>
      <c r="J416" s="160">
        <f t="shared" ca="1" si="130"/>
        <v>19</v>
      </c>
      <c r="K416" s="55">
        <v>58</v>
      </c>
      <c r="L416" s="55" t="s">
        <v>525</v>
      </c>
      <c r="M416" s="275" t="str">
        <f ca="1">IF(AND(NOT(I415=0),LEN(A416)&gt;7),"F","")</f>
        <v/>
      </c>
      <c r="P416" s="633"/>
      <c r="Q416" s="633"/>
      <c r="AA416" s="208"/>
      <c r="AB416" s="206"/>
      <c r="AC416" s="206"/>
      <c r="AD416" s="206"/>
      <c r="AE416" s="63"/>
      <c r="AF416" s="307"/>
      <c r="AG416" s="298"/>
      <c r="AH416" s="205"/>
      <c r="AI416" s="266"/>
    </row>
    <row r="417" spans="1:35" hidden="1" x14ac:dyDescent="0.25">
      <c r="A417" s="159" t="str">
        <f ca="1">"……"&amp;AA417</f>
        <v>……ALV Prämien</v>
      </c>
      <c r="B417" s="159"/>
      <c r="C417" s="159"/>
      <c r="D417" s="159"/>
      <c r="F417" s="210"/>
      <c r="G417" s="211"/>
      <c r="H417" s="205"/>
      <c r="I417" s="169">
        <f ca="1">IF(P320=1,F320,0)</f>
        <v>0</v>
      </c>
      <c r="J417" s="160">
        <f t="shared" ca="1" si="130"/>
        <v>19</v>
      </c>
      <c r="K417" s="55">
        <v>59</v>
      </c>
      <c r="P417" s="633"/>
      <c r="Q417" s="633"/>
      <c r="AA417" s="206" t="str">
        <f ca="1">INDIRECT(ADDRESS(ROW()+N_Offset_M,COLUMN(A417)+(N_SpracheAuswahl)*26,,,"Text"))</f>
        <v>ALV Prämien</v>
      </c>
      <c r="AB417" s="206"/>
      <c r="AC417" s="206"/>
      <c r="AD417" s="206"/>
      <c r="AE417" s="63"/>
      <c r="AF417" s="307"/>
      <c r="AG417" s="298"/>
      <c r="AH417" s="205"/>
      <c r="AI417" s="266"/>
    </row>
    <row r="418" spans="1:35" hidden="1" x14ac:dyDescent="0.25">
      <c r="A418" s="159" t="str">
        <f ca="1">"      "&amp;IF(P320=1,G320,"")</f>
        <v xml:space="preserve">      </v>
      </c>
      <c r="B418" s="159"/>
      <c r="C418" s="159"/>
      <c r="D418" s="159"/>
      <c r="F418" s="210"/>
      <c r="G418" s="211"/>
      <c r="H418" s="205"/>
      <c r="I418" s="169"/>
      <c r="J418" s="160">
        <f t="shared" ca="1" si="130"/>
        <v>19</v>
      </c>
      <c r="K418" s="55">
        <v>60</v>
      </c>
      <c r="L418" s="55" t="s">
        <v>525</v>
      </c>
      <c r="M418" s="275" t="str">
        <f ca="1">IF(AND(NOT(I417=0),LEN(A418)&gt;7),"F","")</f>
        <v/>
      </c>
      <c r="P418" s="633"/>
      <c r="Q418" s="633"/>
      <c r="AA418" s="208"/>
      <c r="AB418" s="206"/>
      <c r="AC418" s="206"/>
      <c r="AD418" s="206"/>
      <c r="AE418" s="63"/>
      <c r="AF418" s="307"/>
      <c r="AG418" s="298"/>
      <c r="AH418" s="205"/>
      <c r="AI418" s="266"/>
    </row>
    <row r="419" spans="1:35" hidden="1" x14ac:dyDescent="0.25">
      <c r="A419" s="159" t="str">
        <f ca="1">"……"&amp;AA419</f>
        <v>……NBU</v>
      </c>
      <c r="B419" s="159"/>
      <c r="C419" s="159"/>
      <c r="D419" s="159"/>
      <c r="F419" s="210"/>
      <c r="G419" s="211"/>
      <c r="H419" s="205"/>
      <c r="I419" s="169">
        <f ca="1">IF(P321=1,F321,0)</f>
        <v>0</v>
      </c>
      <c r="J419" s="160">
        <f t="shared" ca="1" si="130"/>
        <v>19</v>
      </c>
      <c r="K419" s="55">
        <v>61</v>
      </c>
      <c r="P419" s="633"/>
      <c r="Q419" s="633"/>
      <c r="AA419" s="206" t="str">
        <f ca="1">INDIRECT(ADDRESS(ROW()+N_Offset_M,COLUMN(A419)+(N_SpracheAuswahl)*26,,,"Text"))</f>
        <v>NBU</v>
      </c>
      <c r="AB419" s="206"/>
      <c r="AC419" s="206"/>
      <c r="AD419" s="206"/>
      <c r="AE419" s="63"/>
      <c r="AF419" s="307"/>
      <c r="AG419" s="298"/>
      <c r="AH419" s="205"/>
      <c r="AI419" s="266"/>
    </row>
    <row r="420" spans="1:35" hidden="1" x14ac:dyDescent="0.25">
      <c r="A420" s="159" t="str">
        <f ca="1">"      "&amp;IF(P321=1,G321,"")</f>
        <v xml:space="preserve">      </v>
      </c>
      <c r="B420" s="159"/>
      <c r="C420" s="159"/>
      <c r="D420" s="159"/>
      <c r="F420" s="210"/>
      <c r="G420" s="211"/>
      <c r="H420" s="205"/>
      <c r="I420" s="169"/>
      <c r="J420" s="160">
        <f t="shared" ca="1" si="130"/>
        <v>19</v>
      </c>
      <c r="K420" s="55">
        <v>62</v>
      </c>
      <c r="L420" s="55" t="s">
        <v>525</v>
      </c>
      <c r="M420" s="275" t="str">
        <f ca="1">IF(AND(NOT(I419=0),LEN(A420)&gt;7),"F","")</f>
        <v/>
      </c>
      <c r="P420" s="633"/>
      <c r="Q420" s="633"/>
      <c r="AA420" s="206"/>
      <c r="AB420" s="206"/>
      <c r="AC420" s="206"/>
      <c r="AD420" s="206"/>
      <c r="AE420" s="63"/>
      <c r="AF420" s="307"/>
      <c r="AG420" s="298"/>
      <c r="AH420" s="205"/>
      <c r="AI420" s="266"/>
    </row>
    <row r="421" spans="1:35" hidden="1" x14ac:dyDescent="0.25">
      <c r="A421" s="159" t="str">
        <f ca="1">"……"&amp;AA421</f>
        <v>……Berufliche Vorsorge (Pensionskassenbeitrag)</v>
      </c>
      <c r="B421" s="159"/>
      <c r="C421" s="159"/>
      <c r="D421" s="159"/>
      <c r="F421" s="210"/>
      <c r="G421" s="211"/>
      <c r="H421" s="205"/>
      <c r="I421" s="169">
        <f ca="1">IF(P322=1,F322,0)</f>
        <v>0</v>
      </c>
      <c r="J421" s="160">
        <f t="shared" ca="1" si="130"/>
        <v>19</v>
      </c>
      <c r="K421" s="55">
        <v>63</v>
      </c>
      <c r="P421" s="633"/>
      <c r="Q421" s="633"/>
      <c r="AA421" s="206" t="str">
        <f ca="1">INDIRECT(ADDRESS(ROW()+N_Offset_M,COLUMN(A421)+(N_SpracheAuswahl)*26,,,"Text"))</f>
        <v>Berufliche Vorsorge (Pensionskassenbeitrag)</v>
      </c>
      <c r="AB421" s="206"/>
      <c r="AC421" s="206"/>
      <c r="AD421" s="206"/>
      <c r="AE421" s="63"/>
      <c r="AF421" s="307"/>
      <c r="AG421" s="298"/>
      <c r="AH421" s="205"/>
      <c r="AI421" s="266"/>
    </row>
    <row r="422" spans="1:35" hidden="1" x14ac:dyDescent="0.25">
      <c r="A422" s="159" t="str">
        <f ca="1">"      "&amp;IF(P322=1,G322,"")</f>
        <v xml:space="preserve">      </v>
      </c>
      <c r="B422" s="159"/>
      <c r="C422" s="159"/>
      <c r="D422" s="159"/>
      <c r="F422" s="210"/>
      <c r="G422" s="211"/>
      <c r="H422" s="205"/>
      <c r="I422" s="169"/>
      <c r="J422" s="160">
        <f t="shared" ca="1" si="130"/>
        <v>19</v>
      </c>
      <c r="K422" s="55">
        <v>64</v>
      </c>
      <c r="L422" s="55" t="s">
        <v>525</v>
      </c>
      <c r="M422" s="275" t="str">
        <f ca="1">IF(AND(NOT(I421=0),LEN(A422)&gt;7),"F","")</f>
        <v/>
      </c>
      <c r="P422" s="633"/>
      <c r="Q422" s="633"/>
      <c r="AA422" s="206"/>
      <c r="AB422" s="206"/>
      <c r="AC422" s="206"/>
      <c r="AD422" s="206"/>
      <c r="AE422" s="63"/>
      <c r="AF422" s="307"/>
      <c r="AG422" s="298"/>
      <c r="AH422" s="205"/>
      <c r="AI422" s="266"/>
    </row>
    <row r="423" spans="1:35" hidden="1" x14ac:dyDescent="0.25">
      <c r="A423" s="159" t="str">
        <f ca="1">"……"&amp;AA423</f>
        <v>……Familienzulage</v>
      </c>
      <c r="B423" s="159"/>
      <c r="C423" s="159"/>
      <c r="D423" s="159"/>
      <c r="F423" s="210"/>
      <c r="G423" s="211"/>
      <c r="H423" s="205"/>
      <c r="I423" s="169">
        <f ca="1">IF(P323=1,F323,0)</f>
        <v>0</v>
      </c>
      <c r="J423" s="160">
        <f t="shared" ca="1" si="130"/>
        <v>19</v>
      </c>
      <c r="K423" s="55">
        <v>65</v>
      </c>
      <c r="P423" s="633"/>
      <c r="Q423" s="633"/>
      <c r="AA423" s="206" t="str">
        <f ca="1">INDIRECT(ADDRESS(ROW()+N_Offset_M,COLUMN(A423)+(N_SpracheAuswahl)*26,,,"Text"))</f>
        <v>Familienzulage</v>
      </c>
      <c r="AB423" s="206"/>
      <c r="AC423" s="206"/>
      <c r="AD423" s="206"/>
      <c r="AE423" s="63"/>
      <c r="AF423" s="307"/>
      <c r="AG423" s="298"/>
      <c r="AH423" s="205"/>
      <c r="AI423" s="266"/>
    </row>
    <row r="424" spans="1:35" hidden="1" x14ac:dyDescent="0.25">
      <c r="A424" s="159" t="str">
        <f ca="1">"      "&amp;IF(P323=1,G323,"")</f>
        <v xml:space="preserve">      </v>
      </c>
      <c r="B424" s="159"/>
      <c r="C424" s="159"/>
      <c r="D424" s="159"/>
      <c r="F424" s="210"/>
      <c r="G424" s="211"/>
      <c r="H424" s="205"/>
      <c r="I424" s="169"/>
      <c r="J424" s="160">
        <f t="shared" ca="1" si="130"/>
        <v>19</v>
      </c>
      <c r="K424" s="55">
        <v>66</v>
      </c>
      <c r="L424" s="55" t="s">
        <v>525</v>
      </c>
      <c r="M424" s="275" t="str">
        <f ca="1">IF(AND(NOT(I423=0),LEN(A424)&gt;7),"F","")</f>
        <v/>
      </c>
      <c r="P424" s="633"/>
      <c r="Q424" s="633"/>
      <c r="AA424" s="206"/>
      <c r="AB424" s="206"/>
      <c r="AC424" s="206"/>
      <c r="AD424" s="206"/>
      <c r="AE424" s="63"/>
      <c r="AF424" s="307"/>
      <c r="AG424" s="298"/>
      <c r="AH424" s="205"/>
      <c r="AI424" s="266"/>
    </row>
    <row r="425" spans="1:35" hidden="1" x14ac:dyDescent="0.25">
      <c r="A425" s="159" t="str">
        <f ca="1">"……"&amp;AA425</f>
        <v>……KTG</v>
      </c>
      <c r="B425" s="159"/>
      <c r="C425" s="159"/>
      <c r="D425" s="159"/>
      <c r="F425" s="210"/>
      <c r="G425" s="211"/>
      <c r="H425" s="205"/>
      <c r="I425" s="169">
        <f ca="1">IF(P324=1,F324,0)</f>
        <v>0</v>
      </c>
      <c r="J425" s="160">
        <f t="shared" ca="1" si="130"/>
        <v>19</v>
      </c>
      <c r="K425" s="55">
        <v>67</v>
      </c>
      <c r="P425" s="633"/>
      <c r="Q425" s="633"/>
      <c r="AA425" s="206" t="str">
        <f ca="1">INDIRECT(ADDRESS(ROW()+N_Offset_M,COLUMN(A425)+(N_SpracheAuswahl)*26,,,"Text"))</f>
        <v>KTG</v>
      </c>
      <c r="AB425" s="206"/>
      <c r="AC425" s="206"/>
      <c r="AD425" s="206"/>
      <c r="AE425" s="63"/>
      <c r="AF425" s="307"/>
      <c r="AG425" s="298"/>
      <c r="AH425" s="205"/>
      <c r="AI425" s="266"/>
    </row>
    <row r="426" spans="1:35" hidden="1" x14ac:dyDescent="0.25">
      <c r="A426" s="159" t="str">
        <f ca="1">"      "&amp;IF(P324=1,G324,"")</f>
        <v xml:space="preserve">      </v>
      </c>
      <c r="B426" s="159"/>
      <c r="C426" s="159"/>
      <c r="D426" s="159"/>
      <c r="F426" s="210"/>
      <c r="G426" s="211"/>
      <c r="H426" s="205"/>
      <c r="I426" s="169"/>
      <c r="J426" s="160">
        <f t="shared" ca="1" si="130"/>
        <v>19</v>
      </c>
      <c r="K426" s="55">
        <v>68</v>
      </c>
      <c r="L426" s="55" t="s">
        <v>525</v>
      </c>
      <c r="M426" s="275" t="str">
        <f ca="1">IF(AND(NOT(I425=0),LEN(A426)&gt;7),"F","")</f>
        <v/>
      </c>
      <c r="P426" s="633"/>
      <c r="Q426" s="633"/>
      <c r="AA426" s="206"/>
      <c r="AB426" s="206"/>
      <c r="AC426" s="206"/>
      <c r="AD426" s="206"/>
      <c r="AE426" s="63"/>
      <c r="AF426" s="307"/>
      <c r="AG426" s="298"/>
      <c r="AH426" s="205"/>
      <c r="AI426" s="266"/>
    </row>
    <row r="427" spans="1:35" hidden="1" x14ac:dyDescent="0.25">
      <c r="A427" s="159"/>
      <c r="B427" s="159"/>
      <c r="C427" s="159"/>
      <c r="D427" s="159"/>
      <c r="F427" s="210"/>
      <c r="G427" s="211"/>
      <c r="H427" s="205"/>
      <c r="I427" s="169"/>
      <c r="J427" s="160">
        <f t="shared" ca="1" si="130"/>
        <v>19</v>
      </c>
      <c r="K427" s="55">
        <v>69</v>
      </c>
      <c r="M427" s="294" t="str">
        <f ca="1">IF(SUM(I419:I425)=0,"","F")</f>
        <v/>
      </c>
      <c r="P427" s="646">
        <f ca="1">-'  B  '!C74*MAX(0,P404-P406*N_Pensioniert_Freibetrag)+'  B  '!C75*(MAX(0,MIN(P$1+P$2-1,N_Anstellung_Ende)-MAX(P$1,N_Anstellung_Beginn)+1)/P$2)*(P407+P408)</f>
        <v>0</v>
      </c>
      <c r="Q427" s="633" t="s">
        <v>1239</v>
      </c>
      <c r="AA427" s="206"/>
      <c r="AB427" s="206"/>
      <c r="AC427" s="206"/>
      <c r="AD427" s="206"/>
      <c r="AE427" s="63"/>
      <c r="AF427" s="307"/>
      <c r="AG427" s="298"/>
      <c r="AH427" s="205"/>
      <c r="AI427" s="266"/>
    </row>
    <row r="428" spans="1:35" hidden="1" x14ac:dyDescent="0.25">
      <c r="A428" s="195" t="str">
        <f ca="1">AA428</f>
        <v>Total Abzüge</v>
      </c>
      <c r="B428" s="159"/>
      <c r="C428" s="159"/>
      <c r="D428" s="159"/>
      <c r="F428" s="159"/>
      <c r="G428" s="159"/>
      <c r="H428" s="197"/>
      <c r="I428" s="167">
        <f ca="1">SUM(I407:I426)</f>
        <v>0</v>
      </c>
      <c r="J428" s="160">
        <f t="shared" ref="J428:J457" ca="1" si="134">OR(NOT(I428=0),M428="F")*1+J427</f>
        <v>20</v>
      </c>
      <c r="K428" s="55">
        <v>70</v>
      </c>
      <c r="L428" s="55" t="s">
        <v>36</v>
      </c>
      <c r="M428" s="55" t="s">
        <v>54</v>
      </c>
      <c r="P428" s="648">
        <f ca="1">SUM(P407:P427)</f>
        <v>0</v>
      </c>
      <c r="Q428" s="633"/>
      <c r="AA428" s="206" t="str">
        <f ca="1">INDIRECT(ADDRESS(ROW()+N_Offset_M,COLUMN(A428)+(N_SpracheAuswahl)*26,,,"Text"))</f>
        <v>Total Abzüge</v>
      </c>
      <c r="AB428" s="206"/>
      <c r="AC428" s="206"/>
      <c r="AD428" s="206"/>
      <c r="AE428" s="63"/>
      <c r="AF428" s="206"/>
      <c r="AG428" s="206"/>
      <c r="AH428" s="197"/>
      <c r="AI428" s="266"/>
    </row>
    <row r="429" spans="1:35" hidden="1" x14ac:dyDescent="0.25">
      <c r="A429" s="195"/>
      <c r="B429" s="159"/>
      <c r="C429" s="159"/>
      <c r="D429" s="159"/>
      <c r="F429" s="159"/>
      <c r="G429" s="159"/>
      <c r="H429" s="197"/>
      <c r="I429" s="167"/>
      <c r="J429" s="160">
        <f t="shared" ca="1" si="134"/>
        <v>21</v>
      </c>
      <c r="K429" s="55">
        <v>71</v>
      </c>
      <c r="M429" s="55" t="s">
        <v>54</v>
      </c>
      <c r="AA429" s="206"/>
      <c r="AB429" s="206"/>
      <c r="AC429" s="206"/>
      <c r="AD429" s="206"/>
      <c r="AE429" s="63"/>
      <c r="AF429" s="206"/>
      <c r="AG429" s="206"/>
      <c r="AH429" s="197"/>
      <c r="AI429" s="266"/>
    </row>
    <row r="430" spans="1:35" hidden="1" x14ac:dyDescent="0.25">
      <c r="A430" s="195" t="str">
        <f ca="1">AA430</f>
        <v>Nettolohn</v>
      </c>
      <c r="B430" s="159"/>
      <c r="C430" s="159"/>
      <c r="D430" s="159"/>
      <c r="F430" s="159"/>
      <c r="G430" s="159"/>
      <c r="H430" s="159"/>
      <c r="I430" s="167">
        <f ca="1">I404+I428</f>
        <v>0</v>
      </c>
      <c r="J430" s="160">
        <f t="shared" ca="1" si="134"/>
        <v>22</v>
      </c>
      <c r="K430" s="55">
        <v>72</v>
      </c>
      <c r="L430" s="55" t="s">
        <v>37</v>
      </c>
      <c r="M430" s="55" t="s">
        <v>54</v>
      </c>
      <c r="AA430" s="206" t="str">
        <f ca="1">INDIRECT(ADDRESS(ROW()+N_Offset_M,COLUMN(A430)+(N_SpracheAuswahl)*26,,,"Text"))</f>
        <v>Nettolohn</v>
      </c>
      <c r="AB430" s="206"/>
      <c r="AC430" s="206"/>
      <c r="AD430" s="206"/>
      <c r="AE430" s="63"/>
      <c r="AF430" s="206"/>
      <c r="AG430" s="206"/>
      <c r="AH430" s="206"/>
      <c r="AI430" s="266"/>
    </row>
    <row r="431" spans="1:35" hidden="1" x14ac:dyDescent="0.25">
      <c r="A431" s="195"/>
      <c r="B431" s="159"/>
      <c r="C431" s="159"/>
      <c r="D431" s="159"/>
      <c r="F431" s="159"/>
      <c r="G431" s="159"/>
      <c r="H431" s="159"/>
      <c r="I431" s="167"/>
      <c r="J431" s="160">
        <f t="shared" ca="1" si="134"/>
        <v>23</v>
      </c>
      <c r="K431" s="55">
        <v>73</v>
      </c>
      <c r="M431" s="55" t="s">
        <v>54</v>
      </c>
      <c r="AA431" s="206"/>
      <c r="AB431" s="206"/>
      <c r="AC431" s="206"/>
      <c r="AD431" s="206"/>
      <c r="AE431" s="63"/>
      <c r="AF431" s="206"/>
      <c r="AG431" s="206"/>
      <c r="AH431" s="206"/>
      <c r="AI431" s="266"/>
    </row>
    <row r="432" spans="1:35" hidden="1" x14ac:dyDescent="0.25">
      <c r="A432" s="159" t="str">
        <f ca="1">AA432</f>
        <v>Quellensteuerabzug</v>
      </c>
      <c r="B432" s="159"/>
      <c r="C432" s="159"/>
      <c r="D432" s="159"/>
      <c r="F432" s="159"/>
      <c r="G432" s="168">
        <f>I38</f>
        <v>0</v>
      </c>
      <c r="H432" s="205">
        <f ca="1">I404</f>
        <v>0</v>
      </c>
      <c r="I432" s="169">
        <f ca="1">-ROUND((G432*H432)*2,1)/2</f>
        <v>0</v>
      </c>
      <c r="J432" s="160">
        <f t="shared" ca="1" si="134"/>
        <v>23</v>
      </c>
      <c r="K432" s="55">
        <v>74</v>
      </c>
      <c r="AA432" s="206" t="str">
        <f ca="1">INDIRECT(ADDRESS(ROW()+N_Offset_M,COLUMN(A432)+(N_SpracheAuswahl)*26,,,"Text"))</f>
        <v>Quellensteuerabzug</v>
      </c>
      <c r="AB432" s="206"/>
      <c r="AC432" s="206"/>
      <c r="AD432" s="206"/>
      <c r="AE432" s="63"/>
      <c r="AF432" s="206"/>
      <c r="AG432" s="306"/>
      <c r="AH432" s="205"/>
      <c r="AI432" s="266"/>
    </row>
    <row r="433" spans="1:35" hidden="1" x14ac:dyDescent="0.25">
      <c r="A433" s="159" t="str">
        <f ca="1">AA433</f>
        <v>Spesen (Auslagenersatz)</v>
      </c>
      <c r="B433" s="159"/>
      <c r="C433" s="159"/>
      <c r="F433" s="159"/>
      <c r="G433" s="168"/>
      <c r="H433" s="205"/>
      <c r="I433" s="169">
        <f>I41</f>
        <v>0</v>
      </c>
      <c r="J433" s="160">
        <f t="shared" ca="1" si="134"/>
        <v>23</v>
      </c>
      <c r="K433" s="55">
        <v>75</v>
      </c>
      <c r="AA433" s="206" t="str">
        <f ca="1">INDIRECT(ADDRESS(ROW()+N_Offset_M,COLUMN(A433)+(N_SpracheAuswahl)*26,,,"Text"))</f>
        <v>Spesen (Auslagenersatz)</v>
      </c>
      <c r="AB433" s="206"/>
      <c r="AC433" s="206"/>
      <c r="AD433" s="63"/>
      <c r="AE433" s="63"/>
      <c r="AF433" s="206"/>
      <c r="AG433" s="306"/>
      <c r="AH433" s="205"/>
      <c r="AI433" s="266"/>
    </row>
    <row r="434" spans="1:35" hidden="1" x14ac:dyDescent="0.25">
      <c r="A434" s="159" t="str">
        <f>"      "&amp;F40</f>
        <v xml:space="preserve">      </v>
      </c>
      <c r="B434" s="159"/>
      <c r="C434" s="159"/>
      <c r="D434" s="159"/>
      <c r="F434" s="159"/>
      <c r="G434" s="168"/>
      <c r="H434" s="205"/>
      <c r="I434" s="169"/>
      <c r="J434" s="160">
        <f t="shared" ca="1" si="134"/>
        <v>23</v>
      </c>
      <c r="K434" s="55">
        <v>76</v>
      </c>
      <c r="L434" s="55" t="s">
        <v>525</v>
      </c>
      <c r="M434" s="275" t="str">
        <f>IF(AND(NOT(I433=0),LEN(A434)&gt;7),"F","")</f>
        <v/>
      </c>
      <c r="AA434" s="206"/>
      <c r="AB434" s="206"/>
      <c r="AC434" s="206"/>
      <c r="AD434" s="206"/>
      <c r="AE434" s="63"/>
      <c r="AF434" s="206"/>
      <c r="AG434" s="306"/>
      <c r="AH434" s="205"/>
      <c r="AI434" s="266"/>
    </row>
    <row r="435" spans="1:35" hidden="1" x14ac:dyDescent="0.25">
      <c r="A435" s="159"/>
      <c r="B435" s="159"/>
      <c r="C435" s="159"/>
      <c r="D435" s="159"/>
      <c r="F435" s="159"/>
      <c r="G435" s="168"/>
      <c r="H435" s="205"/>
      <c r="I435" s="169"/>
      <c r="J435" s="160">
        <f t="shared" ca="1" si="134"/>
        <v>23</v>
      </c>
      <c r="K435" s="55">
        <v>77</v>
      </c>
      <c r="M435" s="294" t="str">
        <f ca="1">IF(SUM(I432:I435)=0,"","F")</f>
        <v/>
      </c>
      <c r="AA435" s="206"/>
      <c r="AB435" s="206"/>
      <c r="AC435" s="206"/>
      <c r="AD435" s="206"/>
      <c r="AE435" s="63"/>
      <c r="AF435" s="206"/>
      <c r="AG435" s="306"/>
      <c r="AH435" s="205"/>
      <c r="AI435" s="266"/>
    </row>
    <row r="436" spans="1:35" hidden="1" x14ac:dyDescent="0.25">
      <c r="A436" s="208" t="str">
        <f ca="1">AA436</f>
        <v>Korrekturen</v>
      </c>
      <c r="B436" s="159"/>
      <c r="C436" s="159"/>
      <c r="D436" s="159"/>
      <c r="F436" s="159"/>
      <c r="G436" s="159"/>
      <c r="H436" s="159"/>
      <c r="I436" s="169"/>
      <c r="J436" s="160">
        <f t="shared" ca="1" si="134"/>
        <v>23</v>
      </c>
      <c r="K436" s="55">
        <v>78</v>
      </c>
      <c r="L436" s="55" t="s">
        <v>525</v>
      </c>
      <c r="M436" s="294" t="str">
        <f ca="1">IF(SUM(I437:I441)=0,"","F")</f>
        <v/>
      </c>
      <c r="AA436" s="208" t="str">
        <f ca="1">INDIRECT(ADDRESS(ROW()+N_Offset_M,COLUMN(A436)+(N_SpracheAuswahl)*26,,,"Text"))</f>
        <v>Korrekturen</v>
      </c>
      <c r="AB436" s="206"/>
      <c r="AC436" s="206"/>
      <c r="AD436" s="206"/>
      <c r="AE436" s="63"/>
      <c r="AF436" s="206"/>
      <c r="AG436" s="206"/>
      <c r="AH436" s="206"/>
      <c r="AI436" s="266"/>
    </row>
    <row r="437" spans="1:35" hidden="1" x14ac:dyDescent="0.25">
      <c r="A437" s="159" t="str">
        <f ca="1">"……"&amp;AA437</f>
        <v>……Quellensteuer auf Korrekturen</v>
      </c>
      <c r="B437" s="159"/>
      <c r="C437" s="159"/>
      <c r="D437" s="159"/>
      <c r="F437" s="159"/>
      <c r="G437" s="168">
        <f>I38</f>
        <v>0</v>
      </c>
      <c r="H437" s="205">
        <f ca="1">SUM(I395:I400)</f>
        <v>0</v>
      </c>
      <c r="I437" s="169">
        <f ca="1">-ROUND((G437*H437)*2,1)/2</f>
        <v>0</v>
      </c>
      <c r="J437" s="160">
        <f t="shared" ca="1" si="134"/>
        <v>23</v>
      </c>
      <c r="K437" s="55">
        <v>79</v>
      </c>
      <c r="AA437" s="206" t="str">
        <f ca="1">INDIRECT(ADDRESS(ROW()+N_Offset_M,COLUMN(A437)+(N_SpracheAuswahl)*26,,,"Text"))</f>
        <v>Quellensteuer auf Korrekturen</v>
      </c>
      <c r="AB437" s="206"/>
      <c r="AC437" s="206"/>
      <c r="AD437" s="206"/>
      <c r="AE437" s="63"/>
      <c r="AF437" s="206"/>
      <c r="AG437" s="306"/>
      <c r="AH437" s="205"/>
      <c r="AI437" s="266"/>
    </row>
    <row r="438" spans="1:35" hidden="1" x14ac:dyDescent="0.25">
      <c r="A438" s="67" t="str">
        <f ca="1">"……"&amp;AA438</f>
        <v>……Quellensteuer</v>
      </c>
      <c r="B438" s="159"/>
      <c r="C438" s="159"/>
      <c r="F438" s="159"/>
      <c r="G438" s="159"/>
      <c r="H438" s="159"/>
      <c r="I438" s="169">
        <f ca="1">IF(P328=1,F328,0)</f>
        <v>0</v>
      </c>
      <c r="J438" s="160">
        <f t="shared" ca="1" si="134"/>
        <v>23</v>
      </c>
      <c r="K438" s="55">
        <v>80</v>
      </c>
      <c r="AA438" s="170" t="str">
        <f ca="1">INDIRECT(ADDRESS(ROW()+N_Offset_M,COLUMN(A438)+(N_SpracheAuswahl)*26,,,"Text"))</f>
        <v>Quellensteuer</v>
      </c>
      <c r="AB438" s="206"/>
      <c r="AC438" s="206"/>
      <c r="AD438" s="63"/>
      <c r="AE438" s="63"/>
      <c r="AF438" s="206"/>
      <c r="AG438" s="206"/>
      <c r="AH438" s="206"/>
      <c r="AI438" s="266"/>
    </row>
    <row r="439" spans="1:35" hidden="1" x14ac:dyDescent="0.25">
      <c r="A439" s="159" t="str">
        <f ca="1">"      "&amp;IF(P328=1,G328,"")</f>
        <v xml:space="preserve">      </v>
      </c>
      <c r="B439" s="159"/>
      <c r="C439" s="159"/>
      <c r="D439" s="159"/>
      <c r="F439" s="159"/>
      <c r="G439" s="159"/>
      <c r="H439" s="159"/>
      <c r="I439" s="169"/>
      <c r="J439" s="160">
        <f t="shared" ca="1" si="134"/>
        <v>23</v>
      </c>
      <c r="K439" s="55">
        <v>81</v>
      </c>
      <c r="L439" s="55" t="s">
        <v>525</v>
      </c>
      <c r="M439" s="275" t="str">
        <f ca="1">IF(AND(NOT(I438=0),LEN(A439)&gt;7),"F","")</f>
        <v/>
      </c>
      <c r="AA439" s="206"/>
      <c r="AB439" s="206"/>
      <c r="AC439" s="206"/>
      <c r="AD439" s="206"/>
      <c r="AE439" s="63"/>
      <c r="AF439" s="206"/>
      <c r="AG439" s="206"/>
      <c r="AH439" s="206"/>
      <c r="AI439" s="266"/>
    </row>
    <row r="440" spans="1:35" hidden="1" x14ac:dyDescent="0.25">
      <c r="A440" s="67" t="str">
        <f ca="1">"……"&amp;AA440</f>
        <v>……Spesen (Auslagenersatz)</v>
      </c>
      <c r="B440" s="159"/>
      <c r="C440" s="159"/>
      <c r="F440" s="159"/>
      <c r="G440" s="159"/>
      <c r="H440" s="197"/>
      <c r="I440" s="169">
        <f ca="1">IF(P329=1,F329,0)</f>
        <v>0</v>
      </c>
      <c r="J440" s="160">
        <f t="shared" ca="1" si="134"/>
        <v>23</v>
      </c>
      <c r="K440" s="55">
        <v>82</v>
      </c>
      <c r="AA440" s="170" t="str">
        <f ca="1">INDIRECT(ADDRESS(ROW()+N_Offset_M,COLUMN(A440)+(N_SpracheAuswahl)*26,,,"Text"))</f>
        <v>Spesen (Auslagenersatz)</v>
      </c>
      <c r="AB440" s="206"/>
      <c r="AC440" s="206"/>
      <c r="AD440" s="63"/>
      <c r="AE440" s="63"/>
      <c r="AF440" s="206"/>
      <c r="AG440" s="206"/>
      <c r="AH440" s="197"/>
      <c r="AI440" s="266"/>
    </row>
    <row r="441" spans="1:35" hidden="1" x14ac:dyDescent="0.25">
      <c r="A441" s="159" t="str">
        <f ca="1">"      "&amp;IF(P329=1,G329,"")</f>
        <v xml:space="preserve">      </v>
      </c>
      <c r="B441" s="159"/>
      <c r="C441" s="159"/>
      <c r="D441" s="159"/>
      <c r="F441" s="159"/>
      <c r="G441" s="159"/>
      <c r="H441" s="197"/>
      <c r="I441" s="169"/>
      <c r="J441" s="160">
        <f t="shared" ca="1" si="134"/>
        <v>23</v>
      </c>
      <c r="K441" s="55">
        <v>83</v>
      </c>
      <c r="L441" s="55" t="s">
        <v>525</v>
      </c>
      <c r="M441" s="275" t="str">
        <f ca="1">IF(AND(NOT(I440=0),LEN(A441)&gt;7),"F","")</f>
        <v/>
      </c>
      <c r="AA441" s="206"/>
      <c r="AB441" s="206"/>
      <c r="AC441" s="206"/>
      <c r="AD441" s="206"/>
      <c r="AE441" s="63"/>
      <c r="AF441" s="206"/>
      <c r="AG441" s="206"/>
      <c r="AH441" s="197"/>
      <c r="AI441" s="266"/>
    </row>
    <row r="442" spans="1:35" hidden="1" x14ac:dyDescent="0.25">
      <c r="A442" s="159"/>
      <c r="B442" s="159"/>
      <c r="C442" s="159"/>
      <c r="D442" s="159"/>
      <c r="F442" s="159"/>
      <c r="G442" s="159"/>
      <c r="H442" s="197"/>
      <c r="I442" s="169"/>
      <c r="J442" s="160">
        <f t="shared" ca="1" si="134"/>
        <v>23</v>
      </c>
      <c r="K442" s="55">
        <v>84</v>
      </c>
      <c r="M442" s="294" t="str">
        <f ca="1">IF(SUM(I436:I441)=0,"","F")</f>
        <v/>
      </c>
      <c r="AA442" s="206"/>
      <c r="AB442" s="206"/>
      <c r="AC442" s="206"/>
      <c r="AD442" s="206"/>
      <c r="AE442" s="63"/>
      <c r="AF442" s="206"/>
      <c r="AG442" s="206"/>
      <c r="AH442" s="197"/>
      <c r="AI442" s="266"/>
    </row>
    <row r="443" spans="1:35" hidden="1" x14ac:dyDescent="0.25">
      <c r="A443" s="67" t="str">
        <f ca="1">AA443</f>
        <v>Ausgleich Kost und Logis</v>
      </c>
      <c r="B443" s="159"/>
      <c r="C443" s="159"/>
      <c r="D443" s="159"/>
      <c r="F443" s="159"/>
      <c r="G443" s="159"/>
      <c r="H443" s="159"/>
      <c r="I443" s="161">
        <f ca="1">-I402</f>
        <v>0</v>
      </c>
      <c r="J443" s="160">
        <f t="shared" ca="1" si="134"/>
        <v>23</v>
      </c>
      <c r="K443" s="55">
        <v>85</v>
      </c>
      <c r="AA443" s="170" t="str">
        <f ca="1">INDIRECT(ADDRESS(ROW()+N_Offset_M,COLUMN(A443)+(N_SpracheAuswahl)*26,,,"Text"))</f>
        <v>Ausgleich Kost und Logis</v>
      </c>
      <c r="AB443" s="206"/>
      <c r="AC443" s="206"/>
      <c r="AD443" s="206"/>
      <c r="AE443" s="63"/>
      <c r="AF443" s="206"/>
      <c r="AG443" s="206"/>
      <c r="AH443" s="206"/>
      <c r="AI443" s="296"/>
    </row>
    <row r="444" spans="1:35" hidden="1" x14ac:dyDescent="0.25">
      <c r="A444" s="159" t="str">
        <f ca="1">AA444</f>
        <v>Andere</v>
      </c>
      <c r="B444" s="206"/>
      <c r="D444" s="170"/>
      <c r="F444" s="206"/>
      <c r="G444" s="206"/>
      <c r="H444" s="206"/>
      <c r="I444" s="169">
        <f>I43</f>
        <v>0</v>
      </c>
      <c r="J444" s="160">
        <f t="shared" ca="1" si="134"/>
        <v>23</v>
      </c>
      <c r="K444" s="55">
        <v>86</v>
      </c>
      <c r="AA444" s="206" t="str">
        <f ca="1">INDIRECT(ADDRESS(ROW()+N_Offset_M,COLUMN(A444)+(N_SpracheAuswahl)*26,,,"Text"))</f>
        <v>Andere</v>
      </c>
      <c r="AB444" s="206"/>
      <c r="AC444" s="63"/>
      <c r="AD444" s="170"/>
      <c r="AE444" s="63"/>
      <c r="AF444" s="206"/>
      <c r="AG444" s="206"/>
      <c r="AH444" s="206"/>
      <c r="AI444" s="266"/>
    </row>
    <row r="445" spans="1:35" hidden="1" x14ac:dyDescent="0.25">
      <c r="A445" s="159" t="str">
        <f>"      "&amp;F42</f>
        <v xml:space="preserve">      </v>
      </c>
      <c r="B445" s="206"/>
      <c r="D445" s="170"/>
      <c r="F445" s="206"/>
      <c r="G445" s="206"/>
      <c r="H445" s="206"/>
      <c r="I445" s="169"/>
      <c r="J445" s="160">
        <f t="shared" ca="1" si="134"/>
        <v>23</v>
      </c>
      <c r="K445" s="55">
        <v>87</v>
      </c>
      <c r="L445" s="55" t="s">
        <v>525</v>
      </c>
      <c r="M445" s="275" t="str">
        <f>IF(AND(NOT(I444=0),LEN(A445)&gt;7),"F","")</f>
        <v/>
      </c>
      <c r="AA445" s="206"/>
      <c r="AB445" s="206"/>
      <c r="AC445" s="63"/>
      <c r="AD445" s="170"/>
      <c r="AE445" s="63"/>
      <c r="AF445" s="206"/>
      <c r="AG445" s="206"/>
      <c r="AH445" s="206"/>
      <c r="AI445" s="266"/>
    </row>
    <row r="446" spans="1:35" hidden="1" x14ac:dyDescent="0.25">
      <c r="A446" s="159"/>
      <c r="B446" s="206"/>
      <c r="D446" s="170"/>
      <c r="F446" s="206"/>
      <c r="G446" s="206"/>
      <c r="H446" s="206"/>
      <c r="I446" s="169"/>
      <c r="J446" s="160">
        <f t="shared" ca="1" si="134"/>
        <v>23</v>
      </c>
      <c r="K446" s="55">
        <v>88</v>
      </c>
      <c r="M446" s="294" t="str">
        <f ca="1">IF(SUM(I443:I445)=0,"","F")</f>
        <v/>
      </c>
      <c r="AA446" s="206"/>
      <c r="AB446" s="206"/>
      <c r="AC446" s="63"/>
      <c r="AD446" s="170"/>
      <c r="AE446" s="63"/>
      <c r="AF446" s="206"/>
      <c r="AG446" s="206"/>
      <c r="AH446" s="206"/>
      <c r="AI446" s="266"/>
    </row>
    <row r="447" spans="1:35" hidden="1" x14ac:dyDescent="0.25">
      <c r="A447" s="200" t="str">
        <f ca="1">AA447</f>
        <v>Auszahlungsbetrag</v>
      </c>
      <c r="B447" s="201"/>
      <c r="C447" s="201"/>
      <c r="D447" s="212"/>
      <c r="E447" s="201"/>
      <c r="F447" s="201"/>
      <c r="G447" s="213"/>
      <c r="H447" s="200" t="s">
        <v>1134</v>
      </c>
      <c r="I447" s="171">
        <f ca="1">SUM(I430:I444)</f>
        <v>0</v>
      </c>
      <c r="J447" s="160">
        <f t="shared" ca="1" si="134"/>
        <v>24</v>
      </c>
      <c r="K447" s="55">
        <v>89</v>
      </c>
      <c r="L447" s="55" t="s">
        <v>37</v>
      </c>
      <c r="M447" s="55" t="s">
        <v>54</v>
      </c>
      <c r="N447" s="87"/>
      <c r="AA447" s="206" t="str">
        <f ca="1">INDIRECT(ADDRESS(ROW()+N_Offset_M,COLUMN(A447)+(N_SpracheAuswahl)*26,,,"Text"))</f>
        <v>Auszahlungsbetrag</v>
      </c>
      <c r="AB447" s="206"/>
      <c r="AC447" s="206"/>
      <c r="AD447" s="299"/>
      <c r="AE447" s="206"/>
      <c r="AF447" s="206"/>
      <c r="AG447" s="197"/>
      <c r="AH447" s="206"/>
      <c r="AI447" s="266"/>
    </row>
    <row r="448" spans="1:35" hidden="1" x14ac:dyDescent="0.25">
      <c r="A448" s="195"/>
      <c r="B448" s="159"/>
      <c r="C448" s="159"/>
      <c r="D448" s="172"/>
      <c r="E448" s="159"/>
      <c r="F448" s="159"/>
      <c r="G448" s="197"/>
      <c r="H448" s="195"/>
      <c r="I448" s="167"/>
      <c r="J448" s="160">
        <f t="shared" ca="1" si="134"/>
        <v>25</v>
      </c>
      <c r="K448" s="55">
        <v>90</v>
      </c>
      <c r="M448" s="55" t="s">
        <v>54</v>
      </c>
      <c r="N448" s="87"/>
      <c r="AA448" s="206"/>
      <c r="AB448" s="206"/>
      <c r="AC448" s="206"/>
      <c r="AD448" s="299"/>
      <c r="AE448" s="206"/>
      <c r="AF448" s="206"/>
      <c r="AG448" s="197"/>
      <c r="AH448" s="206"/>
      <c r="AI448" s="266"/>
    </row>
    <row r="449" spans="1:35" hidden="1" x14ac:dyDescent="0.25">
      <c r="A449" s="159" t="str">
        <f ca="1">AA449&amp;" "&amp;TEXT(AT295,"0.0")&amp;" "&amp;AE449</f>
        <v>Ferienguthaben per Ende Monat:  28.0 Kalendertage</v>
      </c>
      <c r="B449" s="159"/>
      <c r="C449" s="159"/>
      <c r="D449" s="172"/>
      <c r="E449" s="159"/>
      <c r="F449" s="159"/>
      <c r="G449" s="197"/>
      <c r="H449" s="195"/>
      <c r="I449" s="167"/>
      <c r="J449" s="160">
        <f t="shared" ca="1" si="134"/>
        <v>25</v>
      </c>
      <c r="K449" s="55">
        <v>91</v>
      </c>
      <c r="M449" s="294" t="str">
        <f ca="1">IF('  B  '!G91=1,"F","")</f>
        <v/>
      </c>
      <c r="N449" s="87"/>
      <c r="AA449" s="206" t="str">
        <f ca="1">INDIRECT(ADDRESS(ROW()+N_Offset_M,COLUMN(A449)+(N_SpracheAuswahl)*26,,,"Text"))</f>
        <v xml:space="preserve">Ferienguthaben per Ende Monat: </v>
      </c>
      <c r="AB449" s="206"/>
      <c r="AC449" s="206"/>
      <c r="AD449" s="299"/>
      <c r="AE449" s="206" t="str">
        <f ca="1">INDIRECT(ADDRESS(ROW()+N_Offset_M,COLUMN(E449)+(N_SpracheAuswahl)*26,,,"Text"))</f>
        <v>Kalendertage</v>
      </c>
      <c r="AF449" s="206"/>
      <c r="AG449" s="197"/>
      <c r="AH449" s="206"/>
      <c r="AI449" s="266"/>
    </row>
    <row r="450" spans="1:35" hidden="1" x14ac:dyDescent="0.25">
      <c r="A450" s="195"/>
      <c r="B450" s="159"/>
      <c r="C450" s="159"/>
      <c r="D450" s="172"/>
      <c r="E450" s="159"/>
      <c r="F450" s="159"/>
      <c r="G450" s="197"/>
      <c r="H450" s="195"/>
      <c r="I450" s="167"/>
      <c r="J450" s="160">
        <f t="shared" ca="1" si="134"/>
        <v>25</v>
      </c>
      <c r="K450" s="55">
        <v>92</v>
      </c>
      <c r="M450" s="294" t="str">
        <f ca="1">IF('  B  '!G91=1,"F","")</f>
        <v/>
      </c>
      <c r="N450" s="87"/>
      <c r="AA450" s="206"/>
      <c r="AB450" s="206"/>
      <c r="AC450" s="206"/>
      <c r="AD450" s="299"/>
      <c r="AE450" s="206"/>
      <c r="AF450" s="206"/>
      <c r="AG450" s="197"/>
      <c r="AH450" s="206"/>
      <c r="AI450" s="266"/>
    </row>
    <row r="451" spans="1:35" hidden="1" x14ac:dyDescent="0.25">
      <c r="A451" s="159" t="str">
        <f ca="1">AA451</f>
        <v>Der Betrag wird wie folgt überwiesen:</v>
      </c>
      <c r="B451" s="159"/>
      <c r="C451" s="159"/>
      <c r="D451" s="172"/>
      <c r="E451" s="159"/>
      <c r="F451" s="159"/>
      <c r="G451" s="159"/>
      <c r="H451" s="159"/>
      <c r="I451" s="159"/>
      <c r="J451" s="160">
        <f t="shared" ca="1" si="134"/>
        <v>26</v>
      </c>
      <c r="K451" s="55">
        <v>93</v>
      </c>
      <c r="M451" s="55" t="s">
        <v>54</v>
      </c>
      <c r="AA451" s="206" t="str">
        <f ca="1">INDIRECT(ADDRESS(ROW()+N_Offset_M,COLUMN(A451)+(N_SpracheAuswahl)*26,,,"Text"))</f>
        <v>Der Betrag wird wie folgt überwiesen:</v>
      </c>
      <c r="AB451" s="206"/>
      <c r="AC451" s="206"/>
      <c r="AD451" s="299"/>
      <c r="AE451" s="206"/>
      <c r="AF451" s="206"/>
      <c r="AG451" s="206"/>
      <c r="AH451" s="206"/>
      <c r="AI451" s="206"/>
    </row>
    <row r="452" spans="1:35" hidden="1" x14ac:dyDescent="0.25">
      <c r="A452" s="159" t="str">
        <f>'  B  '!G67</f>
        <v xml:space="preserve">; </v>
      </c>
      <c r="B452" s="159"/>
      <c r="C452" s="159"/>
      <c r="D452" s="172"/>
      <c r="E452" s="159"/>
      <c r="F452" s="159"/>
      <c r="G452" s="159"/>
      <c r="H452" s="159"/>
      <c r="I452" s="159"/>
      <c r="J452" s="160">
        <f t="shared" ca="1" si="134"/>
        <v>27</v>
      </c>
      <c r="K452" s="55">
        <v>94</v>
      </c>
      <c r="M452" s="55" t="s">
        <v>54</v>
      </c>
      <c r="AA452" s="206"/>
      <c r="AB452" s="206"/>
      <c r="AC452" s="206"/>
      <c r="AD452" s="299"/>
      <c r="AE452" s="206"/>
      <c r="AF452" s="206"/>
      <c r="AG452" s="206"/>
      <c r="AH452" s="206"/>
      <c r="AI452" s="206"/>
    </row>
    <row r="453" spans="1:35" hidden="1" x14ac:dyDescent="0.25">
      <c r="A453" s="159"/>
      <c r="B453" s="159"/>
      <c r="C453" s="159"/>
      <c r="D453" s="172"/>
      <c r="E453" s="159"/>
      <c r="F453" s="159"/>
      <c r="G453" s="159"/>
      <c r="H453" s="159"/>
      <c r="I453" s="159"/>
      <c r="J453" s="160">
        <f t="shared" ca="1" si="134"/>
        <v>28</v>
      </c>
      <c r="K453" s="55">
        <v>95</v>
      </c>
      <c r="M453" s="55" t="s">
        <v>54</v>
      </c>
      <c r="AA453" s="206"/>
      <c r="AB453" s="206"/>
      <c r="AC453" s="206"/>
      <c r="AD453" s="299"/>
      <c r="AE453" s="206"/>
      <c r="AF453" s="206"/>
      <c r="AG453" s="206"/>
      <c r="AH453" s="206"/>
      <c r="AI453" s="206"/>
    </row>
    <row r="454" spans="1:35" hidden="1" x14ac:dyDescent="0.25">
      <c r="A454" s="173">
        <f>F44</f>
        <v>0</v>
      </c>
      <c r="B454" s="159"/>
      <c r="C454" s="159"/>
      <c r="D454" s="159"/>
      <c r="E454" s="159"/>
      <c r="F454" s="159"/>
      <c r="G454" s="159"/>
      <c r="H454" s="159"/>
      <c r="I454" s="159"/>
      <c r="J454" s="160">
        <f t="shared" ca="1" si="134"/>
        <v>28</v>
      </c>
      <c r="K454" s="55">
        <v>96</v>
      </c>
      <c r="M454" s="294" t="str">
        <f>IF(A454=0,"","F")</f>
        <v/>
      </c>
      <c r="AA454" s="173"/>
      <c r="AB454" s="206"/>
      <c r="AC454" s="206"/>
      <c r="AD454" s="206"/>
      <c r="AE454" s="206"/>
      <c r="AF454" s="206"/>
      <c r="AG454" s="206"/>
      <c r="AH454" s="206"/>
      <c r="AI454" s="206"/>
    </row>
    <row r="455" spans="1:35" hidden="1" x14ac:dyDescent="0.25">
      <c r="A455" s="173">
        <f>F45</f>
        <v>0</v>
      </c>
      <c r="B455" s="159"/>
      <c r="C455" s="159"/>
      <c r="D455" s="159"/>
      <c r="E455" s="159"/>
      <c r="F455" s="159"/>
      <c r="G455" s="159"/>
      <c r="H455" s="159"/>
      <c r="I455" s="159"/>
      <c r="J455" s="160">
        <f t="shared" ca="1" si="134"/>
        <v>28</v>
      </c>
      <c r="K455" s="55">
        <v>97</v>
      </c>
      <c r="M455" s="294" t="str">
        <f>IF(A455=0,"","F")</f>
        <v/>
      </c>
      <c r="AA455" s="173"/>
      <c r="AB455" s="206"/>
      <c r="AC455" s="206"/>
      <c r="AD455" s="206"/>
      <c r="AE455" s="206"/>
      <c r="AF455" s="206"/>
      <c r="AG455" s="206"/>
      <c r="AH455" s="206"/>
      <c r="AI455" s="206"/>
    </row>
    <row r="456" spans="1:35" hidden="1" x14ac:dyDescent="0.25">
      <c r="A456" s="159" t="str">
        <f ca="1">AA456</f>
        <v xml:space="preserve">Bitte Lohnabrechnung sofort überprüfen und Unstimmigkeiten melden. </v>
      </c>
      <c r="B456" s="159"/>
      <c r="C456" s="159"/>
      <c r="D456" s="159"/>
      <c r="E456" s="159"/>
      <c r="F456" s="159"/>
      <c r="G456" s="159"/>
      <c r="H456" s="159"/>
      <c r="I456" s="159"/>
      <c r="J456" s="160">
        <f t="shared" ca="1" si="134"/>
        <v>29</v>
      </c>
      <c r="K456" s="55">
        <v>98</v>
      </c>
      <c r="M456" s="55" t="s">
        <v>54</v>
      </c>
      <c r="AA456" s="206" t="str">
        <f ca="1">INDIRECT(ADDRESS(ROW()+N_Offset_M,COLUMN(A456)+(N_SpracheAuswahl)*26,,,"Text"))</f>
        <v xml:space="preserve">Bitte Lohnabrechnung sofort überprüfen und Unstimmigkeiten melden. </v>
      </c>
      <c r="AB456" s="206"/>
      <c r="AC456" s="206"/>
      <c r="AD456" s="206"/>
      <c r="AE456" s="206"/>
      <c r="AF456" s="206"/>
      <c r="AG456" s="206"/>
      <c r="AH456" s="206"/>
      <c r="AI456" s="206"/>
    </row>
    <row r="457" spans="1:35" hidden="1" x14ac:dyDescent="0.25">
      <c r="A457" s="159" t="str">
        <f ca="1">AA457</f>
        <v xml:space="preserve">Danke. </v>
      </c>
      <c r="J457" s="160">
        <f t="shared" ca="1" si="134"/>
        <v>30</v>
      </c>
      <c r="K457" s="55">
        <v>99</v>
      </c>
      <c r="L457" s="63"/>
      <c r="M457" s="55" t="s">
        <v>54</v>
      </c>
      <c r="AA457" s="206" t="str">
        <f ca="1">INDIRECT(ADDRESS(ROW()+N_Offset_M,COLUMN(A457)+(N_SpracheAuswahl)*26,,,"Text"))</f>
        <v xml:space="preserve">Danke. </v>
      </c>
    </row>
    <row r="458" spans="1:35" hidden="1" x14ac:dyDescent="0.25"/>
    <row r="459" spans="1:35" hidden="1" x14ac:dyDescent="0.25"/>
    <row r="460" spans="1:35" hidden="1" x14ac:dyDescent="0.25"/>
    <row r="461" spans="1:35" hidden="1" x14ac:dyDescent="0.25"/>
    <row r="462" spans="1:35" hidden="1" x14ac:dyDescent="0.25"/>
    <row r="463" spans="1:35" hidden="1" x14ac:dyDescent="0.25"/>
    <row r="464" spans="1:35" hidden="1" x14ac:dyDescent="0.25"/>
    <row r="465" hidden="1" x14ac:dyDescent="0.25"/>
    <row r="466" hidden="1" x14ac:dyDescent="0.25"/>
    <row r="467" hidden="1" x14ac:dyDescent="0.25"/>
    <row r="468" hidden="1" x14ac:dyDescent="0.25"/>
    <row r="469" hidden="1" x14ac:dyDescent="0.25"/>
    <row r="470" hidden="1" x14ac:dyDescent="0.25"/>
  </sheetData>
  <sheetProtection algorithmName="SHA-512" hashValue="FdaS7boN+mUqBw15FJRoS9AitOudCBXKAPPVAHOKaABlWi2pp0j84XSnxeKglm8Aeyczq4I1zwjj1TPyPLH8XA==" saltValue="xQf3gy6c5DnUTaSHxiX6UQ==" spinCount="100000" sheet="1" objects="1" scenarios="1"/>
  <mergeCells count="311">
    <mergeCell ref="A154:D154"/>
    <mergeCell ref="A155:D155"/>
    <mergeCell ref="A143:G143"/>
    <mergeCell ref="A144:G144"/>
    <mergeCell ref="A134:G134"/>
    <mergeCell ref="A135:G135"/>
    <mergeCell ref="A136:G136"/>
    <mergeCell ref="A137:G137"/>
    <mergeCell ref="A138:G138"/>
    <mergeCell ref="A139:G139"/>
    <mergeCell ref="A140:G140"/>
    <mergeCell ref="A141:G141"/>
    <mergeCell ref="A142:G142"/>
    <mergeCell ref="A151:D151"/>
    <mergeCell ref="A121:G121"/>
    <mergeCell ref="A122:G122"/>
    <mergeCell ref="A123:G123"/>
    <mergeCell ref="A124:G124"/>
    <mergeCell ref="A125:G125"/>
    <mergeCell ref="A126:G126"/>
    <mergeCell ref="A127:G127"/>
    <mergeCell ref="A128:G128"/>
    <mergeCell ref="A129:G129"/>
    <mergeCell ref="A112:G112"/>
    <mergeCell ref="A113:G113"/>
    <mergeCell ref="A114:G114"/>
    <mergeCell ref="A115:G115"/>
    <mergeCell ref="A116:G116"/>
    <mergeCell ref="A117:G117"/>
    <mergeCell ref="A118:G118"/>
    <mergeCell ref="A119:G119"/>
    <mergeCell ref="A120:G120"/>
    <mergeCell ref="A98:G98"/>
    <mergeCell ref="A99:G99"/>
    <mergeCell ref="A100:G100"/>
    <mergeCell ref="A101:G101"/>
    <mergeCell ref="A102:G102"/>
    <mergeCell ref="A103:G103"/>
    <mergeCell ref="A104:G104"/>
    <mergeCell ref="A105:G105"/>
    <mergeCell ref="A106:G106"/>
    <mergeCell ref="A89:G89"/>
    <mergeCell ref="A90:G90"/>
    <mergeCell ref="A91:G91"/>
    <mergeCell ref="A92:G92"/>
    <mergeCell ref="A93:G93"/>
    <mergeCell ref="A94:G94"/>
    <mergeCell ref="A95:G95"/>
    <mergeCell ref="A96:G96"/>
    <mergeCell ref="A97:G97"/>
    <mergeCell ref="A80:G80"/>
    <mergeCell ref="A81:G81"/>
    <mergeCell ref="A82:G82"/>
    <mergeCell ref="A83:G83"/>
    <mergeCell ref="A84:G84"/>
    <mergeCell ref="A85:G85"/>
    <mergeCell ref="A86:G86"/>
    <mergeCell ref="A87:G87"/>
    <mergeCell ref="A88:G88"/>
    <mergeCell ref="A64:G64"/>
    <mergeCell ref="A65:G65"/>
    <mergeCell ref="A66:G66"/>
    <mergeCell ref="A67:G67"/>
    <mergeCell ref="A68:G68"/>
    <mergeCell ref="A69:G69"/>
    <mergeCell ref="A70:G70"/>
    <mergeCell ref="A71:G71"/>
    <mergeCell ref="A72:G72"/>
    <mergeCell ref="A73:G73"/>
    <mergeCell ref="A74:G74"/>
    <mergeCell ref="A75:G75"/>
    <mergeCell ref="A76:G76"/>
    <mergeCell ref="A77:G77"/>
    <mergeCell ref="A78:G78"/>
    <mergeCell ref="A79:G79"/>
    <mergeCell ref="A331:I331"/>
    <mergeCell ref="E292:F292"/>
    <mergeCell ref="E293:F293"/>
    <mergeCell ref="E294:F294"/>
    <mergeCell ref="B261:I261"/>
    <mergeCell ref="G240:H240"/>
    <mergeCell ref="A158:E158"/>
    <mergeCell ref="A148:I148"/>
    <mergeCell ref="A149:I149"/>
    <mergeCell ref="H147:I147"/>
    <mergeCell ref="A163:E163"/>
    <mergeCell ref="A164:E164"/>
    <mergeCell ref="A165:E165"/>
    <mergeCell ref="A166:E166"/>
    <mergeCell ref="A167:E167"/>
    <mergeCell ref="A176:E176"/>
    <mergeCell ref="A159:E159"/>
    <mergeCell ref="A184:E184"/>
    <mergeCell ref="A185:E185"/>
    <mergeCell ref="A177:E177"/>
    <mergeCell ref="A180:E180"/>
    <mergeCell ref="A181:E181"/>
    <mergeCell ref="A186:E186"/>
    <mergeCell ref="A187:E187"/>
    <mergeCell ref="F162:I162"/>
    <mergeCell ref="A160:E160"/>
    <mergeCell ref="A161:E161"/>
    <mergeCell ref="A162:E162"/>
    <mergeCell ref="A173:E173"/>
    <mergeCell ref="A174:E174"/>
    <mergeCell ref="A175:E175"/>
    <mergeCell ref="A169:E169"/>
    <mergeCell ref="A170:E170"/>
    <mergeCell ref="A171:E171"/>
    <mergeCell ref="A172:E172"/>
    <mergeCell ref="A107:G107"/>
    <mergeCell ref="A108:G108"/>
    <mergeCell ref="A109:G109"/>
    <mergeCell ref="A110:G110"/>
    <mergeCell ref="A111:G111"/>
    <mergeCell ref="G237:I237"/>
    <mergeCell ref="A217:D217"/>
    <mergeCell ref="G217:I217"/>
    <mergeCell ref="A227:D227"/>
    <mergeCell ref="G227:I227"/>
    <mergeCell ref="A225:D225"/>
    <mergeCell ref="A226:D226"/>
    <mergeCell ref="A228:D228"/>
    <mergeCell ref="A152:D152"/>
    <mergeCell ref="G216:I216"/>
    <mergeCell ref="A207:D207"/>
    <mergeCell ref="A209:D209"/>
    <mergeCell ref="A210:D210"/>
    <mergeCell ref="A130:G130"/>
    <mergeCell ref="A131:G131"/>
    <mergeCell ref="A132:G132"/>
    <mergeCell ref="A133:G133"/>
    <mergeCell ref="A182:E182"/>
    <mergeCell ref="A183:E183"/>
    <mergeCell ref="A43:D43"/>
    <mergeCell ref="E28:F28"/>
    <mergeCell ref="E27:F27"/>
    <mergeCell ref="H21:I21"/>
    <mergeCell ref="A28:D28"/>
    <mergeCell ref="A39:D39"/>
    <mergeCell ref="A36:D36"/>
    <mergeCell ref="A42:E42"/>
    <mergeCell ref="F42:I42"/>
    <mergeCell ref="A34:D34"/>
    <mergeCell ref="F34:H34"/>
    <mergeCell ref="A26:I26"/>
    <mergeCell ref="A29:D29"/>
    <mergeCell ref="A27:D27"/>
    <mergeCell ref="A35:D35"/>
    <mergeCell ref="A44:E44"/>
    <mergeCell ref="A45:E45"/>
    <mergeCell ref="F44:I44"/>
    <mergeCell ref="F45:I45"/>
    <mergeCell ref="A25:H25"/>
    <mergeCell ref="E43:H43"/>
    <mergeCell ref="B13:I13"/>
    <mergeCell ref="B14:I14"/>
    <mergeCell ref="B15:I15"/>
    <mergeCell ref="B16:I16"/>
    <mergeCell ref="B17:I17"/>
    <mergeCell ref="B18:I18"/>
    <mergeCell ref="F40:I40"/>
    <mergeCell ref="A41:D41"/>
    <mergeCell ref="E41:F41"/>
    <mergeCell ref="E31:F31"/>
    <mergeCell ref="E30:F30"/>
    <mergeCell ref="E29:F29"/>
    <mergeCell ref="A30:D30"/>
    <mergeCell ref="A31:D31"/>
    <mergeCell ref="A32:D32"/>
    <mergeCell ref="A33:D33"/>
    <mergeCell ref="F32:H32"/>
    <mergeCell ref="F33:H33"/>
    <mergeCell ref="G238:I238"/>
    <mergeCell ref="G226:I226"/>
    <mergeCell ref="G236:I236"/>
    <mergeCell ref="G218:I218"/>
    <mergeCell ref="G228:I228"/>
    <mergeCell ref="A220:D220"/>
    <mergeCell ref="A221:D221"/>
    <mergeCell ref="A218:D218"/>
    <mergeCell ref="A219:D219"/>
    <mergeCell ref="G220:H220"/>
    <mergeCell ref="G230:H230"/>
    <mergeCell ref="A222:D222"/>
    <mergeCell ref="A224:D224"/>
    <mergeCell ref="A229:D229"/>
    <mergeCell ref="A232:D232"/>
    <mergeCell ref="A234:D234"/>
    <mergeCell ref="A235:D235"/>
    <mergeCell ref="A230:D230"/>
    <mergeCell ref="A231:D231"/>
    <mergeCell ref="A237:D237"/>
    <mergeCell ref="A236:D236"/>
    <mergeCell ref="A238:D238"/>
    <mergeCell ref="E221:F221"/>
    <mergeCell ref="E231:F231"/>
    <mergeCell ref="A203:D203"/>
    <mergeCell ref="A202:D202"/>
    <mergeCell ref="A204:D204"/>
    <mergeCell ref="A206:D206"/>
    <mergeCell ref="A205:D205"/>
    <mergeCell ref="A215:D215"/>
    <mergeCell ref="A216:D216"/>
    <mergeCell ref="A214:D214"/>
    <mergeCell ref="A211:D211"/>
    <mergeCell ref="A208:D208"/>
    <mergeCell ref="A212:J212"/>
    <mergeCell ref="A239:D239"/>
    <mergeCell ref="A246:D246"/>
    <mergeCell ref="A247:D247"/>
    <mergeCell ref="A248:D248"/>
    <mergeCell ref="A249:D249"/>
    <mergeCell ref="A250:D250"/>
    <mergeCell ref="E267:F267"/>
    <mergeCell ref="A252:D252"/>
    <mergeCell ref="A253:D253"/>
    <mergeCell ref="E262:F262"/>
    <mergeCell ref="E241:F241"/>
    <mergeCell ref="A243:J243"/>
    <mergeCell ref="E280:F280"/>
    <mergeCell ref="E275:F275"/>
    <mergeCell ref="E276:F276"/>
    <mergeCell ref="E277:F277"/>
    <mergeCell ref="E278:F278"/>
    <mergeCell ref="E274:F274"/>
    <mergeCell ref="E279:F279"/>
    <mergeCell ref="A251:D251"/>
    <mergeCell ref="E270:F270"/>
    <mergeCell ref="E264:F264"/>
    <mergeCell ref="E265:F265"/>
    <mergeCell ref="E266:F266"/>
    <mergeCell ref="E268:F268"/>
    <mergeCell ref="E269:F269"/>
    <mergeCell ref="E271:F271"/>
    <mergeCell ref="E272:F272"/>
    <mergeCell ref="E273:F273"/>
    <mergeCell ref="A328:C328"/>
    <mergeCell ref="A326:C326"/>
    <mergeCell ref="A327:C327"/>
    <mergeCell ref="A322:C322"/>
    <mergeCell ref="A323:C323"/>
    <mergeCell ref="A324:C324"/>
    <mergeCell ref="A316:C316"/>
    <mergeCell ref="A317:C317"/>
    <mergeCell ref="A318:C318"/>
    <mergeCell ref="A321:C321"/>
    <mergeCell ref="A320:C320"/>
    <mergeCell ref="G321:I321"/>
    <mergeCell ref="G329:I329"/>
    <mergeCell ref="G325:I325"/>
    <mergeCell ref="G322:I322"/>
    <mergeCell ref="G328:I328"/>
    <mergeCell ref="G323:I323"/>
    <mergeCell ref="G324:I324"/>
    <mergeCell ref="G326:I326"/>
    <mergeCell ref="G327:I327"/>
    <mergeCell ref="A303:E303"/>
    <mergeCell ref="A304:E304"/>
    <mergeCell ref="A305:E305"/>
    <mergeCell ref="E291:F291"/>
    <mergeCell ref="A299:E299"/>
    <mergeCell ref="A300:E300"/>
    <mergeCell ref="A301:E301"/>
    <mergeCell ref="B296:C296"/>
    <mergeCell ref="E281:F281"/>
    <mergeCell ref="E282:F282"/>
    <mergeCell ref="E285:F285"/>
    <mergeCell ref="E286:F286"/>
    <mergeCell ref="A302:E302"/>
    <mergeCell ref="E290:F290"/>
    <mergeCell ref="E287:F287"/>
    <mergeCell ref="E283:F283"/>
    <mergeCell ref="E284:F284"/>
    <mergeCell ref="E288:F288"/>
    <mergeCell ref="E289:F289"/>
    <mergeCell ref="G320:I320"/>
    <mergeCell ref="H310:I310"/>
    <mergeCell ref="G316:I316"/>
    <mergeCell ref="G318:I318"/>
    <mergeCell ref="G317:I317"/>
    <mergeCell ref="A314:C314"/>
    <mergeCell ref="A315:C315"/>
    <mergeCell ref="G314:I314"/>
    <mergeCell ref="G315:I315"/>
    <mergeCell ref="A311:I311"/>
    <mergeCell ref="E313:I313"/>
    <mergeCell ref="A157:J157"/>
    <mergeCell ref="A329:C329"/>
    <mergeCell ref="A325:C325"/>
    <mergeCell ref="A242:D242"/>
    <mergeCell ref="F35:H35"/>
    <mergeCell ref="A319:C319"/>
    <mergeCell ref="G319:I319"/>
    <mergeCell ref="A240:D240"/>
    <mergeCell ref="A241:D241"/>
    <mergeCell ref="H260:I260"/>
    <mergeCell ref="A306:E306"/>
    <mergeCell ref="A307:E307"/>
    <mergeCell ref="G301:I301"/>
    <mergeCell ref="G302:I302"/>
    <mergeCell ref="G303:I303"/>
    <mergeCell ref="G304:I304"/>
    <mergeCell ref="G305:I305"/>
    <mergeCell ref="G306:I306"/>
    <mergeCell ref="G307:I307"/>
    <mergeCell ref="F173:I173"/>
    <mergeCell ref="A178:E178"/>
    <mergeCell ref="F184:I184"/>
    <mergeCell ref="A188:E188"/>
    <mergeCell ref="A189:E189"/>
  </mergeCells>
  <phoneticPr fontId="0" type="noConversion"/>
  <conditionalFormatting sqref="A145 G145:I145">
    <cfRule type="expression" dxfId="358" priority="62" stopIfTrue="1">
      <formula>$P145="BG"</formula>
    </cfRule>
    <cfRule type="expression" dxfId="357" priority="61" stopIfTrue="1">
      <formula>$P145="B"</formula>
    </cfRule>
  </conditionalFormatting>
  <conditionalFormatting sqref="A264:A294">
    <cfRule type="expression" dxfId="356" priority="71" stopIfTrue="1">
      <formula>WEEKDAY(A264,2)&gt;5</formula>
    </cfRule>
    <cfRule type="expression" dxfId="355" priority="70" stopIfTrue="1">
      <formula>R264=1</formula>
    </cfRule>
  </conditionalFormatting>
  <conditionalFormatting sqref="A216:D216">
    <cfRule type="expression" dxfId="354" priority="52" stopIfTrue="1">
      <formula>$O216&lt;1</formula>
    </cfRule>
  </conditionalFormatting>
  <conditionalFormatting sqref="A217:D217">
    <cfRule type="expression" dxfId="353" priority="51">
      <formula>$S$216=9</formula>
    </cfRule>
  </conditionalFormatting>
  <conditionalFormatting sqref="A217:D225 E213:I220 E222:I230 A234:I240 F154:J154 A155 F155:I155 A202:I211 A212 A213:D215 E221 G221:I221 E231 G231:I232 A241:E241 G241:I241 A242:I242 A244:I258 A315:I329">
    <cfRule type="expression" dxfId="352" priority="57" stopIfTrue="1">
      <formula>$O154&lt;1</formula>
    </cfRule>
  </conditionalFormatting>
  <conditionalFormatting sqref="A226:D232">
    <cfRule type="expression" dxfId="351" priority="4" stopIfTrue="1">
      <formula>$O226&lt;1</formula>
    </cfRule>
  </conditionalFormatting>
  <conditionalFormatting sqref="A227:D227">
    <cfRule type="expression" dxfId="350" priority="3">
      <formula>$S$226=9</formula>
    </cfRule>
  </conditionalFormatting>
  <conditionalFormatting sqref="A236:D236">
    <cfRule type="expression" dxfId="349" priority="44" stopIfTrue="1">
      <formula>$O236&lt;1</formula>
    </cfRule>
  </conditionalFormatting>
  <conditionalFormatting sqref="A237:D237">
    <cfRule type="expression" dxfId="348" priority="43">
      <formula>$S$216=9</formula>
    </cfRule>
  </conditionalFormatting>
  <conditionalFormatting sqref="A237:D242 A243">
    <cfRule type="expression" dxfId="347" priority="45" stopIfTrue="1">
      <formula>$O237&lt;1</formula>
    </cfRule>
  </conditionalFormatting>
  <conditionalFormatting sqref="A190:E191">
    <cfRule type="expression" dxfId="346" priority="321" stopIfTrue="1">
      <formula>$O188&lt;1</formula>
    </cfRule>
  </conditionalFormatting>
  <conditionalFormatting sqref="A192:E193">
    <cfRule type="expression" dxfId="345" priority="431" stopIfTrue="1">
      <formula>$O189&lt;1</formula>
    </cfRule>
  </conditionalFormatting>
  <conditionalFormatting sqref="A194:E198">
    <cfRule type="expression" dxfId="344" priority="53" stopIfTrue="1">
      <formula>$O193&lt;1</formula>
    </cfRule>
  </conditionalFormatting>
  <conditionalFormatting sqref="A28:I30">
    <cfRule type="expression" dxfId="343" priority="79" stopIfTrue="1">
      <formula>NOT(VLOOKUP($I$25,A_JaNein_Auswahl,2)=2)</formula>
    </cfRule>
  </conditionalFormatting>
  <conditionalFormatting sqref="A28:I45">
    <cfRule type="expression" dxfId="342" priority="80" stopIfTrue="1">
      <formula>NOT($Q$24)</formula>
    </cfRule>
  </conditionalFormatting>
  <conditionalFormatting sqref="A34:I34">
    <cfRule type="expression" dxfId="341" priority="85" stopIfTrue="1">
      <formula>NOT($Q$213)</formula>
    </cfRule>
  </conditionalFormatting>
  <conditionalFormatting sqref="A35:I35">
    <cfRule type="expression" dxfId="340" priority="87" stopIfTrue="1">
      <formula>NOT($Q$213)</formula>
    </cfRule>
  </conditionalFormatting>
  <conditionalFormatting sqref="A63:J144">
    <cfRule type="expression" dxfId="339" priority="11" stopIfTrue="1">
      <formula>$P63="BG"</formula>
    </cfRule>
    <cfRule type="expression" dxfId="338" priority="10" stopIfTrue="1">
      <formula>$P63="B"</formula>
    </cfRule>
    <cfRule type="expression" dxfId="337" priority="12" stopIfTrue="1">
      <formula>$P63="K"</formula>
    </cfRule>
  </conditionalFormatting>
  <conditionalFormatting sqref="B264:D294">
    <cfRule type="expression" dxfId="336" priority="223" stopIfTrue="1">
      <formula>AND($AE264&gt;3,$BU264=1)</formula>
    </cfRule>
  </conditionalFormatting>
  <conditionalFormatting sqref="B264:F294">
    <cfRule type="expression" dxfId="335" priority="28" stopIfTrue="1">
      <formula>$AE264=3</formula>
    </cfRule>
    <cfRule type="expression" dxfId="334" priority="30" stopIfTrue="1">
      <formula>OR($AE264=1,$AE264=2,$R264=1)</formula>
    </cfRule>
  </conditionalFormatting>
  <conditionalFormatting sqref="E154:E155">
    <cfRule type="expression" dxfId="333" priority="5" stopIfTrue="1">
      <formula>$O154&lt;1</formula>
    </cfRule>
  </conditionalFormatting>
  <conditionalFormatting sqref="E313">
    <cfRule type="expression" dxfId="332" priority="6">
      <formula>OR(D315="Ja",D315="Oui",D316="Ja",D316="Oui")</formula>
    </cfRule>
  </conditionalFormatting>
  <conditionalFormatting sqref="E264:F294">
    <cfRule type="expression" dxfId="331" priority="29" stopIfTrue="1">
      <formula>OR($AE264&gt;3,$AC264=1)</formula>
    </cfRule>
  </conditionalFormatting>
  <conditionalFormatting sqref="F161">
    <cfRule type="expression" dxfId="330" priority="2" stopIfTrue="1">
      <formula>$O161&lt;1</formula>
    </cfRule>
    <cfRule type="expression" dxfId="329" priority="1">
      <formula>S216=9</formula>
    </cfRule>
  </conditionalFormatting>
  <conditionalFormatting sqref="F161:F162">
    <cfRule type="expression" dxfId="328" priority="25">
      <formula>S216=9</formula>
    </cfRule>
  </conditionalFormatting>
  <conditionalFormatting sqref="F172">
    <cfRule type="expression" dxfId="327" priority="24" stopIfTrue="1">
      <formula>$O172&lt;1</formula>
    </cfRule>
    <cfRule type="expression" dxfId="326" priority="23">
      <formula>S225=9</formula>
    </cfRule>
  </conditionalFormatting>
  <conditionalFormatting sqref="F173">
    <cfRule type="expression" dxfId="325" priority="19" stopIfTrue="1">
      <formula>$O173&lt;1</formula>
    </cfRule>
    <cfRule type="expression" dxfId="324" priority="18">
      <formula>S229=9</formula>
    </cfRule>
  </conditionalFormatting>
  <conditionalFormatting sqref="F183">
    <cfRule type="expression" dxfId="323" priority="21">
      <formula>S236=9</formula>
    </cfRule>
  </conditionalFormatting>
  <conditionalFormatting sqref="F184">
    <cfRule type="expression" dxfId="322" priority="17" stopIfTrue="1">
      <formula>$O184&lt;1</formula>
    </cfRule>
    <cfRule type="expression" dxfId="321" priority="16">
      <formula>S241=9</formula>
    </cfRule>
  </conditionalFormatting>
  <conditionalFormatting sqref="F158:I161 F162 F163:I172 A158:E168 A170:E179 A181:E189 F185:I198">
    <cfRule type="expression" dxfId="320" priority="26" stopIfTrue="1">
      <formula>$O158&lt;1</formula>
    </cfRule>
  </conditionalFormatting>
  <conditionalFormatting sqref="F174:I182">
    <cfRule type="expression" dxfId="319" priority="20" stopIfTrue="1">
      <formula>$O174&lt;1</formula>
    </cfRule>
  </conditionalFormatting>
  <conditionalFormatting sqref="F183:I183 E232:F232">
    <cfRule type="expression" dxfId="318" priority="22" stopIfTrue="1">
      <formula>$O184&lt;1</formula>
    </cfRule>
  </conditionalFormatting>
  <conditionalFormatting sqref="F315:I329">
    <cfRule type="expression" dxfId="317" priority="379" stopIfTrue="1">
      <formula>NOT(VLOOKUP($D315,A_JaNein_Auswahl,2,0)=1)</formula>
    </cfRule>
  </conditionalFormatting>
  <conditionalFormatting sqref="G217:I217">
    <cfRule type="expression" dxfId="316" priority="50">
      <formula>$O217&gt;1</formula>
    </cfRule>
  </conditionalFormatting>
  <conditionalFormatting sqref="G227:I227">
    <cfRule type="expression" dxfId="315" priority="46">
      <formula>$O227&gt;1</formula>
    </cfRule>
  </conditionalFormatting>
  <conditionalFormatting sqref="G237:I237">
    <cfRule type="expression" dxfId="314" priority="42">
      <formula>$O237&gt;1</formula>
    </cfRule>
  </conditionalFormatting>
  <conditionalFormatting sqref="G264:I294">
    <cfRule type="expression" dxfId="313" priority="14" stopIfTrue="1">
      <formula>OR($AE264=1,$AE264=2,$R264=1)</formula>
    </cfRule>
  </conditionalFormatting>
  <conditionalFormatting sqref="G295:I295">
    <cfRule type="expression" dxfId="312" priority="15" stopIfTrue="1">
      <formula>SUM($G$295:$I$295)&gt;0</formula>
    </cfRule>
  </conditionalFormatting>
  <conditionalFormatting sqref="I23:I24 A23:H27 I26:I27">
    <cfRule type="expression" dxfId="311" priority="81" stopIfTrue="1">
      <formula>NOT($Q$24)</formula>
    </cfRule>
  </conditionalFormatting>
  <conditionalFormatting sqref="I25">
    <cfRule type="expression" dxfId="310" priority="88" stopIfTrue="1">
      <formula>NOT($Q$24)</formula>
    </cfRule>
  </conditionalFormatting>
  <conditionalFormatting sqref="I32">
    <cfRule type="expression" dxfId="309" priority="83" stopIfTrue="1">
      <formula>NOT($Q$32)</formula>
    </cfRule>
  </conditionalFormatting>
  <conditionalFormatting sqref="I37">
    <cfRule type="expression" dxfId="308" priority="92" stopIfTrue="1">
      <formula>NOT($O$37=1)</formula>
    </cfRule>
  </conditionalFormatting>
  <conditionalFormatting sqref="I38">
    <cfRule type="expression" dxfId="307" priority="90" stopIfTrue="1">
      <formula>NOT($O$38=1)</formula>
    </cfRule>
  </conditionalFormatting>
  <conditionalFormatting sqref="J262:J295">
    <cfRule type="expression" dxfId="306" priority="78" stopIfTrue="1">
      <formula>SUM($G$295:$I$295)&gt;0</formula>
    </cfRule>
  </conditionalFormatting>
  <conditionalFormatting sqref="U264:AE294 BI264:BS294 CA264:CD294 CF264:CF294 CO264:CY294 DA264:DD294 CE264:CE295">
    <cfRule type="cellIs" dxfId="305" priority="74" stopIfTrue="1" operator="equal">
      <formula>0</formula>
    </cfRule>
  </conditionalFormatting>
  <conditionalFormatting sqref="AF264:AF294">
    <cfRule type="expression" dxfId="304" priority="54" stopIfTrue="1">
      <formula>$AE264=3</formula>
    </cfRule>
    <cfRule type="expression" dxfId="303" priority="56" stopIfTrue="1">
      <formula>$AE264&gt;3</formula>
    </cfRule>
    <cfRule type="expression" dxfId="302" priority="55" stopIfTrue="1">
      <formula>OR($AE264=1,$AE264=2)</formula>
    </cfRule>
  </conditionalFormatting>
  <conditionalFormatting sqref="DJ263:DK294 DI264:DI294 DL264:DM294">
    <cfRule type="cellIs" dxfId="301" priority="27" stopIfTrue="1" operator="equal">
      <formula>0</formula>
    </cfRule>
  </conditionalFormatting>
  <dataValidations count="11">
    <dataValidation type="date" allowBlank="1" showInputMessage="1" showErrorMessage="1" sqref="I232" xr:uid="{00000000-0002-0000-0800-000001000000}">
      <formula1>I231</formula1>
      <formula2>I226</formula2>
    </dataValidation>
    <dataValidation type="whole" allowBlank="1" showInputMessage="1" showErrorMessage="1" sqref="D264:D294" xr:uid="{00000000-0002-0000-0800-000002000000}">
      <formula1>0</formula1>
      <formula2>S264</formula2>
    </dataValidation>
    <dataValidation type="date" operator="greaterThanOrEqual" allowBlank="1" showInputMessage="1" showErrorMessage="1" sqref="I225 I215 I235" xr:uid="{00000000-0002-0000-0800-000003000000}">
      <formula1>I214</formula1>
    </dataValidation>
    <dataValidation type="date" operator="greaterThanOrEqual" allowBlank="1" showInputMessage="1" showErrorMessage="1" sqref="I23" xr:uid="{00000000-0002-0000-0800-000004000000}">
      <formula1>H21</formula1>
    </dataValidation>
    <dataValidation type="list" allowBlank="1" showInputMessage="1" showErrorMessage="1" sqref="AI25:AI26 I25:I26 D315:D329" xr:uid="{00000000-0002-0000-0800-000005000000}">
      <formula1>L_JaNein</formula1>
    </dataValidation>
    <dataValidation type="textLength" allowBlank="1" showInputMessage="1" showErrorMessage="1" sqref="G315:I329" xr:uid="{00000000-0002-0000-0800-000006000000}">
      <formula1>0</formula1>
      <formula2>32</formula2>
    </dataValidation>
    <dataValidation type="list" allowBlank="1" showInputMessage="1" showErrorMessage="1" sqref="G228 G218 G238" xr:uid="{00000000-0002-0000-0800-000007000000}">
      <formula1>L_Rückfall</formula1>
    </dataValidation>
    <dataValidation type="list" allowBlank="1" showInputMessage="1" showErrorMessage="1" sqref="G216 G226 G236" xr:uid="{00000000-0002-0000-0800-000008000000}">
      <formula1>L_Arbeitsunfähigkeit_Grund</formula1>
    </dataValidation>
    <dataValidation type="list" allowBlank="1" showInputMessage="1" showErrorMessage="1" sqref="G227:I227 G217:I217 G237:I237" xr:uid="{00000000-0002-0000-0800-000009000000}">
      <formula1>L_ArtUnfall</formula1>
    </dataValidation>
    <dataValidation type="textLength" allowBlank="1" showInputMessage="1" showErrorMessage="1" sqref="F40:I40 F44:I45 F42:I42" xr:uid="{00000000-0002-0000-0800-00000A000000}">
      <formula1>0</formula1>
      <formula2>40</formula2>
    </dataValidation>
    <dataValidation type="custom" allowBlank="1" showInputMessage="1" showErrorMessage="1" sqref="E264:F294" xr:uid="{00000000-0002-0000-0800-00000B000000}">
      <formula1>NOT(U264=1)</formula1>
    </dataValidation>
  </dataValidations>
  <hyperlinks>
    <hyperlink ref="B13:I13" location="Linkziel_M_Eingaben" display="Monatlliche Abrechnung: Geben Sie hier die Informationen ein, um die Lohnabrechnung für diesen Monat zu erstellen" xr:uid="{00000000-0004-0000-0800-000000000000}"/>
    <hyperlink ref="B18:I18" location="Linkziel_M_Korrekturen" display="Korrekturen: Wenn Sie Korrekturen zu einer früheren Lohnabrechnung machen müssen, können Sie diese hier eingeben" xr:uid="{00000000-0004-0000-0800-000001000000}"/>
    <hyperlink ref="B17:I17" location="Linkziel_M_Einsatzrapport" display="Einsatzrapport: Wenn Sie einen Einsatzrapport führen wollen, können Sie hier die Arbeitszeit pro Tag erfassen" xr:uid="{00000000-0004-0000-0800-000002000000}"/>
    <hyperlink ref="B16:I16" location="Linkziel_M_Abwesenheiten" display="Abwesenheiten: Geben Sie hier ein, wenn die Assistenzperson Ferien bezieht, krank ist, oder wenn Sie selbst als ArbeitgeberIn wegen Abwesenheit (Heimaufenthalt, Spital) die Leistung nicht entgegennehmen können" xr:uid="{00000000-0004-0000-0800-000003000000}"/>
    <hyperlink ref="B15:I15" location="Linkziel_M_ASTeK" display="Verrechnung Assistenzbeitrag: Hier finden Sie die Daten für den Übertrag ins ASTeK (bzw. für das Rechnungsformular Assistenzbeitrag, falls Sie das ASTeK nicht verwenden)" xr:uid="{00000000-0004-0000-0800-000004000000}"/>
    <hyperlink ref="B14:I14" location="Linkziel_M_Lohnabrechnung" display="Lohnabrechnung zum Ausdrucken" xr:uid="{00000000-0004-0000-0800-000005000000}"/>
    <hyperlink ref="A5" location="Linkziel_M_Eingaben" display="Linkziel_M_Eingaben" xr:uid="{00000000-0004-0000-0800-000006000000}"/>
    <hyperlink ref="A6" location="Linkziel_M_Lohnabrechnung" display="Linkziel_M_Lohnabrechnung" xr:uid="{00000000-0004-0000-0800-000007000000}"/>
    <hyperlink ref="A7" location="Linkziel_M_ASTeK" display="Linkziel_M_ASTeK" xr:uid="{00000000-0004-0000-0800-000008000000}"/>
    <hyperlink ref="F5" location="Linkziel_M_Abwesenheiten" display="Linkziel_M_Abwesenheiten" xr:uid="{00000000-0004-0000-0800-000009000000}"/>
    <hyperlink ref="F6" location="Linkziel_M_Einsatzrapport" display="Linkziel_M_Einsatzrapport" xr:uid="{00000000-0004-0000-0800-00000A000000}"/>
    <hyperlink ref="F7" location="Linkziel_M_Korrekturen" display="Linkziel_M_Korrekturen" xr:uid="{00000000-0004-0000-0800-00000B000000}"/>
    <hyperlink ref="A16" location="Linkziel_M_Abwesenheiten" display="Linkziel_M_Abwesenheiten" xr:uid="{00000000-0004-0000-0800-00000C000000}"/>
    <hyperlink ref="A17" location="Linkziel_M_Einsatzrapport" display="Linkziel_M_Einsatzrapport" xr:uid="{00000000-0004-0000-0800-00000D000000}"/>
    <hyperlink ref="A18" location="Linkziel_M_Korrekturen" display="Linkziel_M_Korrekturen" xr:uid="{00000000-0004-0000-0800-00000E000000}"/>
    <hyperlink ref="A13" location="Linkziel_M_Eingaben" display="Linkziel_M_Eingaben" xr:uid="{00000000-0004-0000-0800-00000F000000}"/>
    <hyperlink ref="A14" location="Linkziel_M_Lohnabrechnung" display="Linkziel_M_Lohnabrechnung" xr:uid="{00000000-0004-0000-0800-000010000000}"/>
    <hyperlink ref="A15" location="Linkziel_M_ASTeK" display="Linkziel_M_ASTeK" xr:uid="{00000000-0004-0000-0800-000011000000}"/>
    <hyperlink ref="A25:G25" location="Linkziel_M_Einsatzrapport" display="Linkziel_M_Einsatzrapport" xr:uid="{00000000-0004-0000-0800-000012000000}"/>
    <hyperlink ref="H1:I1" location="Intro!A22" display="zurück zum Intro" xr:uid="{00000000-0004-0000-0800-000013000000}"/>
  </hyperlinks>
  <printOptions horizontalCentered="1"/>
  <pageMargins left="0.51181102362204722" right="0.19685039370078741" top="0.98425196850393704" bottom="0.78740157480314965" header="0.70866141732283472" footer="0.51181102362204722"/>
  <pageSetup paperSize="9" scale="95" fitToHeight="0" orientation="portrait" r:id="rId1"/>
  <headerFooter alignWithMargins="0">
    <oddFooter>&amp;L&amp;8 LAM © Assistenzbüro ABü 2022 - V2.0&amp;R&amp;8&amp;P/&amp;N</oddFooter>
  </headerFooter>
  <rowBreaks count="2" manualBreakCount="2">
    <brk id="198" max="16383" man="1"/>
    <brk id="297" max="16383" man="1"/>
  </row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198</vt:i4>
      </vt:variant>
    </vt:vector>
  </HeadingPairs>
  <TitlesOfParts>
    <vt:vector size="221" baseType="lpstr">
      <vt:lpstr>Intro</vt:lpstr>
      <vt:lpstr>  B  </vt:lpstr>
      <vt:lpstr> 01 </vt:lpstr>
      <vt:lpstr> 02 </vt:lpstr>
      <vt:lpstr> 03 </vt:lpstr>
      <vt:lpstr> 04 </vt:lpstr>
      <vt:lpstr> 05 </vt:lpstr>
      <vt:lpstr> 06 </vt:lpstr>
      <vt:lpstr> 07 </vt:lpstr>
      <vt:lpstr> 08 </vt:lpstr>
      <vt:lpstr> 09 </vt:lpstr>
      <vt:lpstr> 10 </vt:lpstr>
      <vt:lpstr> 11 </vt:lpstr>
      <vt:lpstr> 12 </vt:lpstr>
      <vt:lpstr>  L  </vt:lpstr>
      <vt:lpstr>  I  </vt:lpstr>
      <vt:lpstr>  E  </vt:lpstr>
      <vt:lpstr>Vorgabewerte</vt:lpstr>
      <vt:lpstr>Berechnungen</vt:lpstr>
      <vt:lpstr>Kontrolldaten</vt:lpstr>
      <vt:lpstr>Text</vt:lpstr>
      <vt:lpstr>Versionskontrolle</vt:lpstr>
      <vt:lpstr>Vorlage</vt:lpstr>
      <vt:lpstr>A_Anrede_Auswahl</vt:lpstr>
      <vt:lpstr>A_Arbeitsunfähigkeit324a_Auswahl</vt:lpstr>
      <vt:lpstr>A_ArbeitsunfähigkeitGrund_Auswahl</vt:lpstr>
      <vt:lpstr>A_ArtUnfall_Auswahl</vt:lpstr>
      <vt:lpstr>A_Auszahlung_13_Auswahl</vt:lpstr>
      <vt:lpstr>A_BernerSkala</vt:lpstr>
      <vt:lpstr>A_Ferien_ArtAuszahlung_Auswahl</vt:lpstr>
      <vt:lpstr>A_GekündigtVon_Auswahl</vt:lpstr>
      <vt:lpstr>A_Hinweis_LFP_Auswahl</vt:lpstr>
      <vt:lpstr>A_JaNein_Auswahl</vt:lpstr>
      <vt:lpstr>A_Kündigungsmöglichkeit_Auswahl</vt:lpstr>
      <vt:lpstr>A_Lohnart_Auswahl</vt:lpstr>
      <vt:lpstr>A_Pensionsalter</vt:lpstr>
      <vt:lpstr>A_Rückfall_Auswahl</vt:lpstr>
      <vt:lpstr>A_Sperrfrist</vt:lpstr>
      <vt:lpstr>A_Stundenmix</vt:lpstr>
      <vt:lpstr>A1A180</vt:lpstr>
      <vt:lpstr>AC</vt:lpstr>
      <vt:lpstr>B_AnsatzUngültig</vt:lpstr>
      <vt:lpstr>B_Anzahl</vt:lpstr>
      <vt:lpstr>B_AuswahlSpalteC</vt:lpstr>
      <vt:lpstr>B_gemTarifausZeile</vt:lpstr>
      <vt:lpstr>B_KTG_unvollständig</vt:lpstr>
      <vt:lpstr>B_NBU_fehlt</vt:lpstr>
      <vt:lpstr>B_StdProNacht</vt:lpstr>
      <vt:lpstr>B_Stunden</vt:lpstr>
      <vt:lpstr>B_Tage</vt:lpstr>
      <vt:lpstr>B_übernommenAusZeile</vt:lpstr>
      <vt:lpstr>B_WeiterInZeile</vt:lpstr>
      <vt:lpstr>B_Zeile</vt:lpstr>
      <vt:lpstr>D</vt:lpstr>
      <vt:lpstr>DE</vt:lpstr>
      <vt:lpstr>'  B  '!Druckbereich</vt:lpstr>
      <vt:lpstr>' 01 '!Druckbereich</vt:lpstr>
      <vt:lpstr>' 02 '!Druckbereich</vt:lpstr>
      <vt:lpstr>' 03 '!Druckbereich</vt:lpstr>
      <vt:lpstr>' 04 '!Druckbereich</vt:lpstr>
      <vt:lpstr>' 05 '!Druckbereich</vt:lpstr>
      <vt:lpstr>' 06 '!Druckbereich</vt:lpstr>
      <vt:lpstr>' 07 '!Druckbereich</vt:lpstr>
      <vt:lpstr>' 08 '!Druckbereich</vt:lpstr>
      <vt:lpstr>' 09 '!Druckbereich</vt:lpstr>
      <vt:lpstr>' 10 '!Druckbereich</vt:lpstr>
      <vt:lpstr>' 11 '!Druckbereich</vt:lpstr>
      <vt:lpstr>' 12 '!Druckbereich</vt:lpstr>
      <vt:lpstr>L_Anrede</vt:lpstr>
      <vt:lpstr>L_AnstellungBefristet</vt:lpstr>
      <vt:lpstr>L_Arbeitsunfähigkeit_Grund</vt:lpstr>
      <vt:lpstr>L_ArbeitszeitVereinbarung</vt:lpstr>
      <vt:lpstr>L_ArtUnfall</vt:lpstr>
      <vt:lpstr>L_Auszahlung_13</vt:lpstr>
      <vt:lpstr>L_Ferien_ArtAuszahlung</vt:lpstr>
      <vt:lpstr>L_GekündigtVon</vt:lpstr>
      <vt:lpstr>L_JaNein</vt:lpstr>
      <vt:lpstr>L_Kündigungsmöglichkeit</vt:lpstr>
      <vt:lpstr>L_Lohnart</vt:lpstr>
      <vt:lpstr>L_NachtTarif</vt:lpstr>
      <vt:lpstr>L_Rückfall</vt:lpstr>
      <vt:lpstr>L_Sprache</vt:lpstr>
      <vt:lpstr>L_WartefristKTGJe</vt:lpstr>
      <vt:lpstr>Linkziel_Kündigung</vt:lpstr>
      <vt:lpstr>' 02 '!Linkziel_M_Abwesenheiten</vt:lpstr>
      <vt:lpstr>' 03 '!Linkziel_M_Abwesenheiten</vt:lpstr>
      <vt:lpstr>' 04 '!Linkziel_M_Abwesenheiten</vt:lpstr>
      <vt:lpstr>' 05 '!Linkziel_M_Abwesenheiten</vt:lpstr>
      <vt:lpstr>' 06 '!Linkziel_M_Abwesenheiten</vt:lpstr>
      <vt:lpstr>' 07 '!Linkziel_M_Abwesenheiten</vt:lpstr>
      <vt:lpstr>' 08 '!Linkziel_M_Abwesenheiten</vt:lpstr>
      <vt:lpstr>' 09 '!Linkziel_M_Abwesenheiten</vt:lpstr>
      <vt:lpstr>' 10 '!Linkziel_M_Abwesenheiten</vt:lpstr>
      <vt:lpstr>' 11 '!Linkziel_M_Abwesenheiten</vt:lpstr>
      <vt:lpstr>' 12 '!Linkziel_M_Abwesenheiten</vt:lpstr>
      <vt:lpstr>Linkziel_M_Abwesenheiten</vt:lpstr>
      <vt:lpstr>' 02 '!Linkziel_M_ASTeK</vt:lpstr>
      <vt:lpstr>' 03 '!Linkziel_M_ASTeK</vt:lpstr>
      <vt:lpstr>' 04 '!Linkziel_M_ASTeK</vt:lpstr>
      <vt:lpstr>' 05 '!Linkziel_M_ASTeK</vt:lpstr>
      <vt:lpstr>' 06 '!Linkziel_M_ASTeK</vt:lpstr>
      <vt:lpstr>' 07 '!Linkziel_M_ASTeK</vt:lpstr>
      <vt:lpstr>' 08 '!Linkziel_M_ASTeK</vt:lpstr>
      <vt:lpstr>' 09 '!Linkziel_M_ASTeK</vt:lpstr>
      <vt:lpstr>' 10 '!Linkziel_M_ASTeK</vt:lpstr>
      <vt:lpstr>' 11 '!Linkziel_M_ASTeK</vt:lpstr>
      <vt:lpstr>' 12 '!Linkziel_M_ASTeK</vt:lpstr>
      <vt:lpstr>Linkziel_M_ASTeK</vt:lpstr>
      <vt:lpstr>' 02 '!Linkziel_M_Eingaben</vt:lpstr>
      <vt:lpstr>' 03 '!Linkziel_M_Eingaben</vt:lpstr>
      <vt:lpstr>' 04 '!Linkziel_M_Eingaben</vt:lpstr>
      <vt:lpstr>' 05 '!Linkziel_M_Eingaben</vt:lpstr>
      <vt:lpstr>' 06 '!Linkziel_M_Eingaben</vt:lpstr>
      <vt:lpstr>' 07 '!Linkziel_M_Eingaben</vt:lpstr>
      <vt:lpstr>' 08 '!Linkziel_M_Eingaben</vt:lpstr>
      <vt:lpstr>' 09 '!Linkziel_M_Eingaben</vt:lpstr>
      <vt:lpstr>' 10 '!Linkziel_M_Eingaben</vt:lpstr>
      <vt:lpstr>' 11 '!Linkziel_M_Eingaben</vt:lpstr>
      <vt:lpstr>' 12 '!Linkziel_M_Eingaben</vt:lpstr>
      <vt:lpstr>Linkziel_M_Eingaben</vt:lpstr>
      <vt:lpstr>' 02 '!Linkziel_M_Einsatzrapport</vt:lpstr>
      <vt:lpstr>' 03 '!Linkziel_M_Einsatzrapport</vt:lpstr>
      <vt:lpstr>' 04 '!Linkziel_M_Einsatzrapport</vt:lpstr>
      <vt:lpstr>' 05 '!Linkziel_M_Einsatzrapport</vt:lpstr>
      <vt:lpstr>' 06 '!Linkziel_M_Einsatzrapport</vt:lpstr>
      <vt:lpstr>' 07 '!Linkziel_M_Einsatzrapport</vt:lpstr>
      <vt:lpstr>' 08 '!Linkziel_M_Einsatzrapport</vt:lpstr>
      <vt:lpstr>' 09 '!Linkziel_M_Einsatzrapport</vt:lpstr>
      <vt:lpstr>' 10 '!Linkziel_M_Einsatzrapport</vt:lpstr>
      <vt:lpstr>' 11 '!Linkziel_M_Einsatzrapport</vt:lpstr>
      <vt:lpstr>' 12 '!Linkziel_M_Einsatzrapport</vt:lpstr>
      <vt:lpstr>Linkziel_M_Einsatzrapport</vt:lpstr>
      <vt:lpstr>' 02 '!Linkziel_M_Korrekturen</vt:lpstr>
      <vt:lpstr>' 03 '!Linkziel_M_Korrekturen</vt:lpstr>
      <vt:lpstr>' 04 '!Linkziel_M_Korrekturen</vt:lpstr>
      <vt:lpstr>' 05 '!Linkziel_M_Korrekturen</vt:lpstr>
      <vt:lpstr>' 06 '!Linkziel_M_Korrekturen</vt:lpstr>
      <vt:lpstr>' 07 '!Linkziel_M_Korrekturen</vt:lpstr>
      <vt:lpstr>' 08 '!Linkziel_M_Korrekturen</vt:lpstr>
      <vt:lpstr>' 09 '!Linkziel_M_Korrekturen</vt:lpstr>
      <vt:lpstr>' 10 '!Linkziel_M_Korrekturen</vt:lpstr>
      <vt:lpstr>' 11 '!Linkziel_M_Korrekturen</vt:lpstr>
      <vt:lpstr>' 12 '!Linkziel_M_Korrekturen</vt:lpstr>
      <vt:lpstr>Linkziel_M_Korrekturen</vt:lpstr>
      <vt:lpstr>' 02 '!Linkziel_M_Lohnabrechnung</vt:lpstr>
      <vt:lpstr>' 03 '!Linkziel_M_Lohnabrechnung</vt:lpstr>
      <vt:lpstr>' 04 '!Linkziel_M_Lohnabrechnung</vt:lpstr>
      <vt:lpstr>' 05 '!Linkziel_M_Lohnabrechnung</vt:lpstr>
      <vt:lpstr>' 06 '!Linkziel_M_Lohnabrechnung</vt:lpstr>
      <vt:lpstr>' 07 '!Linkziel_M_Lohnabrechnung</vt:lpstr>
      <vt:lpstr>' 08 '!Linkziel_M_Lohnabrechnung</vt:lpstr>
      <vt:lpstr>' 09 '!Linkziel_M_Lohnabrechnung</vt:lpstr>
      <vt:lpstr>' 10 '!Linkziel_M_Lohnabrechnung</vt:lpstr>
      <vt:lpstr>' 11 '!Linkziel_M_Lohnabrechnung</vt:lpstr>
      <vt:lpstr>' 12 '!Linkziel_M_Lohnabrechnung</vt:lpstr>
      <vt:lpstr>Linkziel_M_Lohnabrechnung</vt:lpstr>
      <vt:lpstr>N_Abrechnungsjahr</vt:lpstr>
      <vt:lpstr>N_Anrede</vt:lpstr>
      <vt:lpstr>N_Anstellung_Beginn</vt:lpstr>
      <vt:lpstr>N_Anstellung_Ende</vt:lpstr>
      <vt:lpstr>N_AnstellungBefristet_Ende</vt:lpstr>
      <vt:lpstr>N_AnstellungBefristetAuswahl</vt:lpstr>
      <vt:lpstr>N_ArbeitsstundenSollProKT</vt:lpstr>
      <vt:lpstr>N_ArbeitszeitVereinbarungAuswahl</vt:lpstr>
      <vt:lpstr>N_Auszahlung_13</vt:lpstr>
      <vt:lpstr>N_Auszahlung_13_Auswahl</vt:lpstr>
      <vt:lpstr>N_BruttoStundenSatz_Monatslohn</vt:lpstr>
      <vt:lpstr>N_Ferien_ArtAuszahlung_Auswahl</vt:lpstr>
      <vt:lpstr>N_Ferien_Jahresguthaben</vt:lpstr>
      <vt:lpstr>N_Ferienzuschlag</vt:lpstr>
      <vt:lpstr>N_GekündigtVon</vt:lpstr>
      <vt:lpstr>N_GekündigtVon_Auswahl</vt:lpstr>
      <vt:lpstr>N_Kündigung</vt:lpstr>
      <vt:lpstr>N_Kündigungsfrist_Beginn</vt:lpstr>
      <vt:lpstr>N_LFP_324_Dauer_max</vt:lpstr>
      <vt:lpstr>N_LFP_324_RV_Dauer_max</vt:lpstr>
      <vt:lpstr>N_LFP_324a_RV_Dauer_max</vt:lpstr>
      <vt:lpstr>N_LFP_Mutterschaft_Dauer_max</vt:lpstr>
      <vt:lpstr>N_LFP_Startdatum</vt:lpstr>
      <vt:lpstr>N_Lohnart</vt:lpstr>
      <vt:lpstr>N_LohnartAuswahl</vt:lpstr>
      <vt:lpstr>N_Monatslohn</vt:lpstr>
      <vt:lpstr>N_Monatslohn_1</vt:lpstr>
      <vt:lpstr>N_Monatslohn_2</vt:lpstr>
      <vt:lpstr>N_NachtStufe</vt:lpstr>
      <vt:lpstr>N_Offset_B</vt:lpstr>
      <vt:lpstr>N_Offset_E</vt:lpstr>
      <vt:lpstr>N_Offset_I</vt:lpstr>
      <vt:lpstr>N_Offset_Intro</vt:lpstr>
      <vt:lpstr>N_Offset_Kontrolldaten</vt:lpstr>
      <vt:lpstr>N_Offset_L</vt:lpstr>
      <vt:lpstr>N_Offset_M</vt:lpstr>
      <vt:lpstr>N_Pensioniert_Freibetrag</vt:lpstr>
      <vt:lpstr>N_Pensum</vt:lpstr>
      <vt:lpstr>N_Probezeit_Dauer_Mt</vt:lpstr>
      <vt:lpstr>N_Sprache</vt:lpstr>
      <vt:lpstr>N_SpracheAuswahl</vt:lpstr>
      <vt:lpstr>N_SVers_Beitrag_AG</vt:lpstr>
      <vt:lpstr>N_Unfalltaggeld_Dauer_max</vt:lpstr>
      <vt:lpstr>N_Version</vt:lpstr>
      <vt:lpstr>N_Wartefrist_Unfall</vt:lpstr>
      <vt:lpstr>N_WochenAZ_100Prozent</vt:lpstr>
      <vt:lpstr>N_Zeile_Kinderzulage</vt:lpstr>
      <vt:lpstr>N_Zeile_Quellensteuer</vt:lpstr>
      <vt:lpstr>'  B  '!Print_Area</vt:lpstr>
      <vt:lpstr>'  E  '!Print_Area</vt:lpstr>
      <vt:lpstr>'  L  '!Print_Area</vt:lpstr>
      <vt:lpstr>' 01 '!Print_Area</vt:lpstr>
      <vt:lpstr>' 02 '!Print_Area</vt:lpstr>
      <vt:lpstr>' 03 '!Print_Area</vt:lpstr>
      <vt:lpstr>' 04 '!Print_Area</vt:lpstr>
      <vt:lpstr>' 05 '!Print_Area</vt:lpstr>
      <vt:lpstr>' 06 '!Print_Area</vt:lpstr>
      <vt:lpstr>' 07 '!Print_Area</vt:lpstr>
      <vt:lpstr>' 08 '!Print_Area</vt:lpstr>
      <vt:lpstr>' 09 '!Print_Area</vt:lpstr>
      <vt:lpstr>' 10 '!Print_Area</vt:lpstr>
      <vt:lpstr>' 11 '!Print_Area</vt:lpstr>
      <vt:lpstr>' 12 '!Print_Area</vt:lpstr>
      <vt:lpstr>Intro!Print_Area</vt:lpstr>
      <vt:lpstr>Versionskontrolle!Print_Titles</vt:lpstr>
    </vt:vector>
  </TitlesOfParts>
  <Company>Assistenzbüro ABü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Lohnabrechnung LAM</dc:title>
  <dc:creator>Nadja Gremlich</dc:creator>
  <cp:lastModifiedBy>Karin Hufschmid</cp:lastModifiedBy>
  <cp:lastPrinted>2022-01-16T20:37:48Z</cp:lastPrinted>
  <dcterms:created xsi:type="dcterms:W3CDTF">2012-04-18T10:02:27Z</dcterms:created>
  <dcterms:modified xsi:type="dcterms:W3CDTF">2024-01-16T09:08:13Z</dcterms:modified>
</cp:coreProperties>
</file>